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TEION\Desktop\"/>
    </mc:Choice>
  </mc:AlternateContent>
  <xr:revisionPtr revIDLastSave="0" documentId="8_{37C88CC5-C688-423D-9770-BD90F407A5E8}" xr6:coauthVersionLast="47" xr6:coauthVersionMax="47" xr10:uidLastSave="{00000000-0000-0000-0000-000000000000}"/>
  <bookViews>
    <workbookView xWindow="-120" yWindow="-120" windowWidth="20730" windowHeight="11160" firstSheet="4" activeTab="7" xr2:uid="{00000000-000D-0000-FFFF-FFFF00000000}"/>
  </bookViews>
  <sheets>
    <sheet name="BALANCE SHEET" sheetId="1" r:id="rId1"/>
    <sheet name="INCOME STATEMENT" sheetId="2" r:id="rId2"/>
    <sheet name="CASH FLOW STATEMENT" sheetId="3" r:id="rId3"/>
    <sheet name="FINANCIAL RATIOS" sheetId="4" r:id="rId4"/>
    <sheet name="STOCK RETURNS &amp; BETA" sheetId="10" r:id="rId5"/>
    <sheet name="WACC" sheetId="5" r:id="rId6"/>
    <sheet name="BENCHMARKING" sheetId="7" r:id="rId7"/>
    <sheet name="SPACE" sheetId="9" r:id="rId8"/>
    <sheet name="ALTMAN'S Z-SCORE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K20" i="2"/>
  <c r="K22" i="2"/>
  <c r="H20" i="7"/>
  <c r="H21" i="7"/>
  <c r="N20" i="2"/>
  <c r="N22" i="2"/>
  <c r="I20" i="7"/>
  <c r="I19" i="7" s="1"/>
  <c r="I21" i="7"/>
  <c r="R19" i="7"/>
  <c r="H18" i="1"/>
  <c r="E3" i="4" s="1"/>
  <c r="H10" i="7" s="1"/>
  <c r="K10" i="7" s="1"/>
  <c r="H23" i="1"/>
  <c r="H32" i="1"/>
  <c r="J18" i="1"/>
  <c r="J23" i="1"/>
  <c r="J32" i="1"/>
  <c r="J34" i="1"/>
  <c r="R18" i="7"/>
  <c r="R17" i="7"/>
  <c r="H47" i="1"/>
  <c r="E6" i="4"/>
  <c r="J47" i="1"/>
  <c r="F6" i="4"/>
  <c r="I17" i="7" s="1"/>
  <c r="R16" i="7"/>
  <c r="H61" i="1"/>
  <c r="J61" i="1"/>
  <c r="I16" i="7"/>
  <c r="K30" i="2"/>
  <c r="P30" i="2" s="1"/>
  <c r="N30" i="2"/>
  <c r="R15" i="7"/>
  <c r="R13" i="7"/>
  <c r="R12" i="7"/>
  <c r="H11" i="7"/>
  <c r="K11" i="7" s="1"/>
  <c r="I11" i="7"/>
  <c r="R11" i="7"/>
  <c r="R10" i="7"/>
  <c r="F3" i="4"/>
  <c r="I10" i="7" s="1"/>
  <c r="O7" i="7"/>
  <c r="P7" i="7"/>
  <c r="H53" i="1"/>
  <c r="E28" i="4" s="1"/>
  <c r="J53" i="1"/>
  <c r="I9" i="7"/>
  <c r="Q20" i="2"/>
  <c r="Q30" i="2"/>
  <c r="L61" i="1"/>
  <c r="L47" i="1"/>
  <c r="L53" i="1"/>
  <c r="G26" i="4"/>
  <c r="G32" i="4" s="1"/>
  <c r="I12" i="9" s="1"/>
  <c r="F61" i="1"/>
  <c r="F47" i="1"/>
  <c r="F53" i="1"/>
  <c r="D26" i="4"/>
  <c r="D32" i="4" s="1"/>
  <c r="F12" i="9" s="1"/>
  <c r="D61" i="1"/>
  <c r="D47" i="1"/>
  <c r="D53" i="1"/>
  <c r="C26" i="4"/>
  <c r="C32" i="4" s="1"/>
  <c r="E12" i="9" s="1"/>
  <c r="B61" i="1"/>
  <c r="B47" i="1"/>
  <c r="B53" i="1"/>
  <c r="B26" i="4"/>
  <c r="B32" i="4" s="1"/>
  <c r="D12" i="9" s="1"/>
  <c r="I10" i="9"/>
  <c r="H10" i="9"/>
  <c r="H6" i="9"/>
  <c r="G10" i="9"/>
  <c r="H20" i="2"/>
  <c r="H22" i="2"/>
  <c r="F10" i="9"/>
  <c r="E20" i="2"/>
  <c r="E22" i="2" s="1"/>
  <c r="E10" i="9"/>
  <c r="E6" i="9"/>
  <c r="B20" i="2"/>
  <c r="B22" i="2"/>
  <c r="B24" i="4" s="1"/>
  <c r="D15" i="9" s="1"/>
  <c r="D10" i="9"/>
  <c r="D6" i="9"/>
  <c r="I6" i="9"/>
  <c r="F36" i="4"/>
  <c r="F37" i="4" s="1"/>
  <c r="E36" i="4"/>
  <c r="H30" i="2"/>
  <c r="I30" i="2" s="1"/>
  <c r="E30" i="2"/>
  <c r="B30" i="2"/>
  <c r="B32" i="2"/>
  <c r="L18" i="1"/>
  <c r="L23" i="1"/>
  <c r="L32" i="1"/>
  <c r="F18" i="1"/>
  <c r="D3" i="4" s="1"/>
  <c r="F23" i="1"/>
  <c r="F32" i="1"/>
  <c r="D18" i="1"/>
  <c r="D23" i="1"/>
  <c r="D32" i="1"/>
  <c r="D34" i="1"/>
  <c r="B18" i="1"/>
  <c r="B34" i="1" s="1"/>
  <c r="B23" i="1"/>
  <c r="B32" i="1"/>
  <c r="G29" i="4"/>
  <c r="F29" i="4"/>
  <c r="D29" i="4"/>
  <c r="C29" i="4"/>
  <c r="B29" i="4"/>
  <c r="C28" i="4"/>
  <c r="B28" i="4"/>
  <c r="G27" i="4"/>
  <c r="F27" i="4"/>
  <c r="C27" i="4"/>
  <c r="B27" i="4"/>
  <c r="K15" i="10"/>
  <c r="J15" i="10"/>
  <c r="I15" i="10"/>
  <c r="E37" i="4"/>
  <c r="J7" i="3"/>
  <c r="E720" i="10"/>
  <c r="G39" i="4"/>
  <c r="F12" i="5"/>
  <c r="F15" i="5"/>
  <c r="E731" i="10"/>
  <c r="D731" i="10"/>
  <c r="E730" i="10"/>
  <c r="D730" i="10"/>
  <c r="E729" i="10"/>
  <c r="D729" i="10"/>
  <c r="E728" i="10"/>
  <c r="D728" i="10"/>
  <c r="E727" i="10"/>
  <c r="D727" i="10"/>
  <c r="E726" i="10"/>
  <c r="D726" i="10"/>
  <c r="E725" i="10"/>
  <c r="D725" i="10"/>
  <c r="E724" i="10"/>
  <c r="D724" i="10"/>
  <c r="E723" i="10"/>
  <c r="D723" i="10"/>
  <c r="E722" i="10"/>
  <c r="D722" i="10"/>
  <c r="E721" i="10"/>
  <c r="D721" i="10"/>
  <c r="D720" i="10"/>
  <c r="E719" i="10"/>
  <c r="D719" i="10"/>
  <c r="E718" i="10"/>
  <c r="D718" i="10"/>
  <c r="E717" i="10"/>
  <c r="D717" i="10"/>
  <c r="E716" i="10"/>
  <c r="D716" i="10"/>
  <c r="E715" i="10"/>
  <c r="D715" i="10"/>
  <c r="E714" i="10"/>
  <c r="D714" i="10"/>
  <c r="E713" i="10"/>
  <c r="D713" i="10"/>
  <c r="E712" i="10"/>
  <c r="D712" i="10"/>
  <c r="E711" i="10"/>
  <c r="D711" i="10"/>
  <c r="E710" i="10"/>
  <c r="D710" i="10"/>
  <c r="E709" i="10"/>
  <c r="D709" i="10"/>
  <c r="E708" i="10"/>
  <c r="D708" i="10"/>
  <c r="E707" i="10"/>
  <c r="D707" i="10"/>
  <c r="E706" i="10"/>
  <c r="D706" i="10"/>
  <c r="E705" i="10"/>
  <c r="D705" i="10"/>
  <c r="E704" i="10"/>
  <c r="D704" i="10"/>
  <c r="E703" i="10"/>
  <c r="D703" i="10"/>
  <c r="E702" i="10"/>
  <c r="D702" i="10"/>
  <c r="E701" i="10"/>
  <c r="D701" i="10"/>
  <c r="E700" i="10"/>
  <c r="D700" i="10"/>
  <c r="E699" i="10"/>
  <c r="D699" i="10"/>
  <c r="E698" i="10"/>
  <c r="D698" i="10"/>
  <c r="E697" i="10"/>
  <c r="D697" i="10"/>
  <c r="E696" i="10"/>
  <c r="D696" i="10"/>
  <c r="E695" i="10"/>
  <c r="D695" i="10"/>
  <c r="E694" i="10"/>
  <c r="D694" i="10"/>
  <c r="E693" i="10"/>
  <c r="D693" i="10"/>
  <c r="E692" i="10"/>
  <c r="D692" i="10"/>
  <c r="E691" i="10"/>
  <c r="D691" i="10"/>
  <c r="E690" i="10"/>
  <c r="D690" i="10"/>
  <c r="E689" i="10"/>
  <c r="D689" i="10"/>
  <c r="E688" i="10"/>
  <c r="D688" i="10"/>
  <c r="E687" i="10"/>
  <c r="D687" i="10"/>
  <c r="E686" i="10"/>
  <c r="D686" i="10"/>
  <c r="E685" i="10"/>
  <c r="D685" i="10"/>
  <c r="E684" i="10"/>
  <c r="D684" i="10"/>
  <c r="E683" i="10"/>
  <c r="D683" i="10"/>
  <c r="E682" i="10"/>
  <c r="D682" i="10"/>
  <c r="E681" i="10"/>
  <c r="D681" i="10"/>
  <c r="E680" i="10"/>
  <c r="D680" i="10"/>
  <c r="E679" i="10"/>
  <c r="D679" i="10"/>
  <c r="E678" i="10"/>
  <c r="D678" i="10"/>
  <c r="E677" i="10"/>
  <c r="D677" i="10"/>
  <c r="E676" i="10"/>
  <c r="D676" i="10"/>
  <c r="E675" i="10"/>
  <c r="D675" i="10"/>
  <c r="E674" i="10"/>
  <c r="D674" i="10"/>
  <c r="E673" i="10"/>
  <c r="D673" i="10"/>
  <c r="E672" i="10"/>
  <c r="D672" i="10"/>
  <c r="E671" i="10"/>
  <c r="D671" i="10"/>
  <c r="E670" i="10"/>
  <c r="D670" i="10"/>
  <c r="E669" i="10"/>
  <c r="D669" i="10"/>
  <c r="E668" i="10"/>
  <c r="D668" i="10"/>
  <c r="E667" i="10"/>
  <c r="D667" i="10"/>
  <c r="E666" i="10"/>
  <c r="D666" i="10"/>
  <c r="E665" i="10"/>
  <c r="D665" i="10"/>
  <c r="E664" i="10"/>
  <c r="D664" i="10"/>
  <c r="E663" i="10"/>
  <c r="D663" i="10"/>
  <c r="E662" i="10"/>
  <c r="D662" i="10"/>
  <c r="E661" i="10"/>
  <c r="D661" i="10"/>
  <c r="E660" i="10"/>
  <c r="D660" i="10"/>
  <c r="E659" i="10"/>
  <c r="D659" i="10"/>
  <c r="E658" i="10"/>
  <c r="D658" i="10"/>
  <c r="E657" i="10"/>
  <c r="D657" i="10"/>
  <c r="E656" i="10"/>
  <c r="D656" i="10"/>
  <c r="E655" i="10"/>
  <c r="D655" i="10"/>
  <c r="E654" i="10"/>
  <c r="D654" i="10"/>
  <c r="E653" i="10"/>
  <c r="D653" i="10"/>
  <c r="E652" i="10"/>
  <c r="D652" i="10"/>
  <c r="E651" i="10"/>
  <c r="D651" i="10"/>
  <c r="E650" i="10"/>
  <c r="D650" i="10"/>
  <c r="E649" i="10"/>
  <c r="D649" i="10"/>
  <c r="E648" i="10"/>
  <c r="D648" i="10"/>
  <c r="E647" i="10"/>
  <c r="D647" i="10"/>
  <c r="E646" i="10"/>
  <c r="D646" i="10"/>
  <c r="E645" i="10"/>
  <c r="D645" i="10"/>
  <c r="E644" i="10"/>
  <c r="D644" i="10"/>
  <c r="E643" i="10"/>
  <c r="D643" i="10"/>
  <c r="E642" i="10"/>
  <c r="D642" i="10"/>
  <c r="E641" i="10"/>
  <c r="D641" i="10"/>
  <c r="E640" i="10"/>
  <c r="D640" i="10"/>
  <c r="E639" i="10"/>
  <c r="D639" i="10"/>
  <c r="E638" i="10"/>
  <c r="D638" i="10"/>
  <c r="E637" i="10"/>
  <c r="D637" i="10"/>
  <c r="E636" i="10"/>
  <c r="D636" i="10"/>
  <c r="E635" i="10"/>
  <c r="D635" i="10"/>
  <c r="E634" i="10"/>
  <c r="D634" i="10"/>
  <c r="E633" i="10"/>
  <c r="D633" i="10"/>
  <c r="E632" i="10"/>
  <c r="D632" i="10"/>
  <c r="E631" i="10"/>
  <c r="D631" i="10"/>
  <c r="E630" i="10"/>
  <c r="D630" i="10"/>
  <c r="E629" i="10"/>
  <c r="D629" i="10"/>
  <c r="E628" i="10"/>
  <c r="D628" i="10"/>
  <c r="E627" i="10"/>
  <c r="D627" i="10"/>
  <c r="E626" i="10"/>
  <c r="D626" i="10"/>
  <c r="E625" i="10"/>
  <c r="D625" i="10"/>
  <c r="E624" i="10"/>
  <c r="D624" i="10"/>
  <c r="E623" i="10"/>
  <c r="D623" i="10"/>
  <c r="E622" i="10"/>
  <c r="D622" i="10"/>
  <c r="E621" i="10"/>
  <c r="D621" i="10"/>
  <c r="E620" i="10"/>
  <c r="D620" i="10"/>
  <c r="E619" i="10"/>
  <c r="D619" i="10"/>
  <c r="E618" i="10"/>
  <c r="D618" i="10"/>
  <c r="E617" i="10"/>
  <c r="D617" i="10"/>
  <c r="E616" i="10"/>
  <c r="D616" i="10"/>
  <c r="E615" i="10"/>
  <c r="D615" i="10"/>
  <c r="E614" i="10"/>
  <c r="D614" i="10"/>
  <c r="E613" i="10"/>
  <c r="D613" i="10"/>
  <c r="E612" i="10"/>
  <c r="D612" i="10"/>
  <c r="E611" i="10"/>
  <c r="D611" i="10"/>
  <c r="E610" i="10"/>
  <c r="D610" i="10"/>
  <c r="E609" i="10"/>
  <c r="D609" i="10"/>
  <c r="E608" i="10"/>
  <c r="D608" i="10"/>
  <c r="E607" i="10"/>
  <c r="D607" i="10"/>
  <c r="E606" i="10"/>
  <c r="D606" i="10"/>
  <c r="E605" i="10"/>
  <c r="D605" i="10"/>
  <c r="E604" i="10"/>
  <c r="D604" i="10"/>
  <c r="E603" i="10"/>
  <c r="D603" i="10"/>
  <c r="E602" i="10"/>
  <c r="D602" i="10"/>
  <c r="E601" i="10"/>
  <c r="D601" i="10"/>
  <c r="E600" i="10"/>
  <c r="D600" i="10"/>
  <c r="E599" i="10"/>
  <c r="D599" i="10"/>
  <c r="E598" i="10"/>
  <c r="D598" i="10"/>
  <c r="E597" i="10"/>
  <c r="D597" i="10"/>
  <c r="E596" i="10"/>
  <c r="D596" i="10"/>
  <c r="E595" i="10"/>
  <c r="D595" i="10"/>
  <c r="E594" i="10"/>
  <c r="D594" i="10"/>
  <c r="E593" i="10"/>
  <c r="D593" i="10"/>
  <c r="E592" i="10"/>
  <c r="D592" i="10"/>
  <c r="E591" i="10"/>
  <c r="D591" i="10"/>
  <c r="E590" i="10"/>
  <c r="D590" i="10"/>
  <c r="E589" i="10"/>
  <c r="D589" i="10"/>
  <c r="E588" i="10"/>
  <c r="D588" i="10"/>
  <c r="E587" i="10"/>
  <c r="D587" i="10"/>
  <c r="E586" i="10"/>
  <c r="D586" i="10"/>
  <c r="E585" i="10"/>
  <c r="D585" i="10"/>
  <c r="E584" i="10"/>
  <c r="D584" i="10"/>
  <c r="E583" i="10"/>
  <c r="D583" i="10"/>
  <c r="E582" i="10"/>
  <c r="D582" i="10"/>
  <c r="E581" i="10"/>
  <c r="D581" i="10"/>
  <c r="E580" i="10"/>
  <c r="D580" i="10"/>
  <c r="E579" i="10"/>
  <c r="D579" i="10"/>
  <c r="E578" i="10"/>
  <c r="D578" i="10"/>
  <c r="E577" i="10"/>
  <c r="D577" i="10"/>
  <c r="E576" i="10"/>
  <c r="D576" i="10"/>
  <c r="E575" i="10"/>
  <c r="D575" i="10"/>
  <c r="E574" i="10"/>
  <c r="D574" i="10"/>
  <c r="E573" i="10"/>
  <c r="D573" i="10"/>
  <c r="E572" i="10"/>
  <c r="D572" i="10"/>
  <c r="E571" i="10"/>
  <c r="D571" i="10"/>
  <c r="E570" i="10"/>
  <c r="D570" i="10"/>
  <c r="E569" i="10"/>
  <c r="D569" i="10"/>
  <c r="E568" i="10"/>
  <c r="D568" i="10"/>
  <c r="E567" i="10"/>
  <c r="D567" i="10"/>
  <c r="E566" i="10"/>
  <c r="D566" i="10"/>
  <c r="E565" i="10"/>
  <c r="D565" i="10"/>
  <c r="E564" i="10"/>
  <c r="D564" i="10"/>
  <c r="E563" i="10"/>
  <c r="D563" i="10"/>
  <c r="E562" i="10"/>
  <c r="D562" i="10"/>
  <c r="E561" i="10"/>
  <c r="D561" i="10"/>
  <c r="E560" i="10"/>
  <c r="D560" i="10"/>
  <c r="E559" i="10"/>
  <c r="D559" i="10"/>
  <c r="E558" i="10"/>
  <c r="D558" i="10"/>
  <c r="E557" i="10"/>
  <c r="D557" i="10"/>
  <c r="E556" i="10"/>
  <c r="D556" i="10"/>
  <c r="E555" i="10"/>
  <c r="D555" i="10"/>
  <c r="E554" i="10"/>
  <c r="D554" i="10"/>
  <c r="E553" i="10"/>
  <c r="D553" i="10"/>
  <c r="E552" i="10"/>
  <c r="D552" i="10"/>
  <c r="E551" i="10"/>
  <c r="D551" i="10"/>
  <c r="E550" i="10"/>
  <c r="D550" i="10"/>
  <c r="E549" i="10"/>
  <c r="D549" i="10"/>
  <c r="E548" i="10"/>
  <c r="D548" i="10"/>
  <c r="E547" i="10"/>
  <c r="D547" i="10"/>
  <c r="E546" i="10"/>
  <c r="D546" i="10"/>
  <c r="E545" i="10"/>
  <c r="D545" i="10"/>
  <c r="E544" i="10"/>
  <c r="D544" i="10"/>
  <c r="E543" i="10"/>
  <c r="D543" i="10"/>
  <c r="E542" i="10"/>
  <c r="D542" i="10"/>
  <c r="E541" i="10"/>
  <c r="D541" i="10"/>
  <c r="E540" i="10"/>
  <c r="D540" i="10"/>
  <c r="E539" i="10"/>
  <c r="D539" i="10"/>
  <c r="E538" i="10"/>
  <c r="D538" i="10"/>
  <c r="E537" i="10"/>
  <c r="D537" i="10"/>
  <c r="E536" i="10"/>
  <c r="D536" i="10"/>
  <c r="E535" i="10"/>
  <c r="D535" i="10"/>
  <c r="E534" i="10"/>
  <c r="D534" i="10"/>
  <c r="E533" i="10"/>
  <c r="D533" i="10"/>
  <c r="E532" i="10"/>
  <c r="D532" i="10"/>
  <c r="E531" i="10"/>
  <c r="D531" i="10"/>
  <c r="E530" i="10"/>
  <c r="D530" i="10"/>
  <c r="E529" i="10"/>
  <c r="D529" i="10"/>
  <c r="E528" i="10"/>
  <c r="D528" i="10"/>
  <c r="E527" i="10"/>
  <c r="D527" i="10"/>
  <c r="E526" i="10"/>
  <c r="D526" i="10"/>
  <c r="E525" i="10"/>
  <c r="D525" i="10"/>
  <c r="E524" i="10"/>
  <c r="D524" i="10"/>
  <c r="E523" i="10"/>
  <c r="D523" i="10"/>
  <c r="E522" i="10"/>
  <c r="D522" i="10"/>
  <c r="E521" i="10"/>
  <c r="D521" i="10"/>
  <c r="E520" i="10"/>
  <c r="D520" i="10"/>
  <c r="E519" i="10"/>
  <c r="D519" i="10"/>
  <c r="E518" i="10"/>
  <c r="D518" i="10"/>
  <c r="E517" i="10"/>
  <c r="D517" i="10"/>
  <c r="E516" i="10"/>
  <c r="D516" i="10"/>
  <c r="E515" i="10"/>
  <c r="D515" i="10"/>
  <c r="E514" i="10"/>
  <c r="D514" i="10"/>
  <c r="E513" i="10"/>
  <c r="D513" i="10"/>
  <c r="E512" i="10"/>
  <c r="D512" i="10"/>
  <c r="E511" i="10"/>
  <c r="D511" i="10"/>
  <c r="E510" i="10"/>
  <c r="D510" i="10"/>
  <c r="E509" i="10"/>
  <c r="D509" i="10"/>
  <c r="E508" i="10"/>
  <c r="D508" i="10"/>
  <c r="E507" i="10"/>
  <c r="D507" i="10"/>
  <c r="E506" i="10"/>
  <c r="D506" i="10"/>
  <c r="E505" i="10"/>
  <c r="D505" i="10"/>
  <c r="E504" i="10"/>
  <c r="D504" i="10"/>
  <c r="E503" i="10"/>
  <c r="D503" i="10"/>
  <c r="E502" i="10"/>
  <c r="D502" i="10"/>
  <c r="E501" i="10"/>
  <c r="D501" i="10"/>
  <c r="E500" i="10"/>
  <c r="D500" i="10"/>
  <c r="E499" i="10"/>
  <c r="D499" i="10"/>
  <c r="E498" i="10"/>
  <c r="D498" i="10"/>
  <c r="E497" i="10"/>
  <c r="D497" i="10"/>
  <c r="E496" i="10"/>
  <c r="D496" i="10"/>
  <c r="E495" i="10"/>
  <c r="D495" i="10"/>
  <c r="E494" i="10"/>
  <c r="D494" i="10"/>
  <c r="E493" i="10"/>
  <c r="D493" i="10"/>
  <c r="E492" i="10"/>
  <c r="D492" i="10"/>
  <c r="E491" i="10"/>
  <c r="D491" i="10"/>
  <c r="E490" i="10"/>
  <c r="D490" i="10"/>
  <c r="E489" i="10"/>
  <c r="D489" i="10"/>
  <c r="E488" i="10"/>
  <c r="D488" i="10"/>
  <c r="E487" i="10"/>
  <c r="D487" i="10"/>
  <c r="E486" i="10"/>
  <c r="D486" i="10"/>
  <c r="E485" i="10"/>
  <c r="D485" i="10"/>
  <c r="E484" i="10"/>
  <c r="D484" i="10"/>
  <c r="E483" i="10"/>
  <c r="D483" i="10"/>
  <c r="E482" i="10"/>
  <c r="D482" i="10"/>
  <c r="E481" i="10"/>
  <c r="D481" i="10"/>
  <c r="E480" i="10"/>
  <c r="D480" i="10"/>
  <c r="E479" i="10"/>
  <c r="D479" i="10"/>
  <c r="E478" i="10"/>
  <c r="D478" i="10"/>
  <c r="E477" i="10"/>
  <c r="D477" i="10"/>
  <c r="E476" i="10"/>
  <c r="D476" i="10"/>
  <c r="E475" i="10"/>
  <c r="D475" i="10"/>
  <c r="E474" i="10"/>
  <c r="D474" i="10"/>
  <c r="E473" i="10"/>
  <c r="D473" i="10"/>
  <c r="E472" i="10"/>
  <c r="D472" i="10"/>
  <c r="E471" i="10"/>
  <c r="D471" i="10"/>
  <c r="E470" i="10"/>
  <c r="D470" i="10"/>
  <c r="E469" i="10"/>
  <c r="D469" i="10"/>
  <c r="E468" i="10"/>
  <c r="D468" i="10"/>
  <c r="E467" i="10"/>
  <c r="D467" i="10"/>
  <c r="E466" i="10"/>
  <c r="D466" i="10"/>
  <c r="E465" i="10"/>
  <c r="D465" i="10"/>
  <c r="E464" i="10"/>
  <c r="D464" i="10"/>
  <c r="E463" i="10"/>
  <c r="D463" i="10"/>
  <c r="E462" i="10"/>
  <c r="D462" i="10"/>
  <c r="E461" i="10"/>
  <c r="D461" i="10"/>
  <c r="E460" i="10"/>
  <c r="D460" i="10"/>
  <c r="E459" i="10"/>
  <c r="D459" i="10"/>
  <c r="E458" i="10"/>
  <c r="D458" i="10"/>
  <c r="E457" i="10"/>
  <c r="D457" i="10"/>
  <c r="E456" i="10"/>
  <c r="D456" i="10"/>
  <c r="E455" i="10"/>
  <c r="D455" i="10"/>
  <c r="E454" i="10"/>
  <c r="D454" i="10"/>
  <c r="E453" i="10"/>
  <c r="D453" i="10"/>
  <c r="E452" i="10"/>
  <c r="D452" i="10"/>
  <c r="E451" i="10"/>
  <c r="D451" i="10"/>
  <c r="E450" i="10"/>
  <c r="D450" i="10"/>
  <c r="E449" i="10"/>
  <c r="D449" i="10"/>
  <c r="E448" i="10"/>
  <c r="D448" i="10"/>
  <c r="E447" i="10"/>
  <c r="D447" i="10"/>
  <c r="E446" i="10"/>
  <c r="D446" i="10"/>
  <c r="E445" i="10"/>
  <c r="D445" i="10"/>
  <c r="E444" i="10"/>
  <c r="D444" i="10"/>
  <c r="E443" i="10"/>
  <c r="D443" i="10"/>
  <c r="E442" i="10"/>
  <c r="D442" i="10"/>
  <c r="E441" i="10"/>
  <c r="D441" i="10"/>
  <c r="E440" i="10"/>
  <c r="D440" i="10"/>
  <c r="E439" i="10"/>
  <c r="D439" i="10"/>
  <c r="E438" i="10"/>
  <c r="D438" i="10"/>
  <c r="E437" i="10"/>
  <c r="D437" i="10"/>
  <c r="E436" i="10"/>
  <c r="D436" i="10"/>
  <c r="E435" i="10"/>
  <c r="D435" i="10"/>
  <c r="E434" i="10"/>
  <c r="D434" i="10"/>
  <c r="E433" i="10"/>
  <c r="D433" i="10"/>
  <c r="E432" i="10"/>
  <c r="D432" i="10"/>
  <c r="E431" i="10"/>
  <c r="D431" i="10"/>
  <c r="E430" i="10"/>
  <c r="D430" i="10"/>
  <c r="E429" i="10"/>
  <c r="D429" i="10"/>
  <c r="E428" i="10"/>
  <c r="D428" i="10"/>
  <c r="E427" i="10"/>
  <c r="D427" i="10"/>
  <c r="E426" i="10"/>
  <c r="D426" i="10"/>
  <c r="E425" i="10"/>
  <c r="D425" i="10"/>
  <c r="E424" i="10"/>
  <c r="D424" i="10"/>
  <c r="E423" i="10"/>
  <c r="D423" i="10"/>
  <c r="E422" i="10"/>
  <c r="D422" i="10"/>
  <c r="E421" i="10"/>
  <c r="D421" i="10"/>
  <c r="E420" i="10"/>
  <c r="D420" i="10"/>
  <c r="E419" i="10"/>
  <c r="D419" i="10"/>
  <c r="E418" i="10"/>
  <c r="D418" i="10"/>
  <c r="E417" i="10"/>
  <c r="D417" i="10"/>
  <c r="E416" i="10"/>
  <c r="D416" i="10"/>
  <c r="E415" i="10"/>
  <c r="D415" i="10"/>
  <c r="E414" i="10"/>
  <c r="D414" i="10"/>
  <c r="E413" i="10"/>
  <c r="D413" i="10"/>
  <c r="E412" i="10"/>
  <c r="D412" i="10"/>
  <c r="E411" i="10"/>
  <c r="D411" i="10"/>
  <c r="E410" i="10"/>
  <c r="D410" i="10"/>
  <c r="E409" i="10"/>
  <c r="D409" i="10"/>
  <c r="E408" i="10"/>
  <c r="D408" i="10"/>
  <c r="E407" i="10"/>
  <c r="D407" i="10"/>
  <c r="E406" i="10"/>
  <c r="D406" i="10"/>
  <c r="E405" i="10"/>
  <c r="D405" i="10"/>
  <c r="E404" i="10"/>
  <c r="D404" i="10"/>
  <c r="E403" i="10"/>
  <c r="D403" i="10"/>
  <c r="E402" i="10"/>
  <c r="D402" i="10"/>
  <c r="E401" i="10"/>
  <c r="D401" i="10"/>
  <c r="E400" i="10"/>
  <c r="D400" i="10"/>
  <c r="E399" i="10"/>
  <c r="D399" i="10"/>
  <c r="E398" i="10"/>
  <c r="D398" i="10"/>
  <c r="E397" i="10"/>
  <c r="D397" i="10"/>
  <c r="E396" i="10"/>
  <c r="D396" i="10"/>
  <c r="E395" i="10"/>
  <c r="D395" i="10"/>
  <c r="E394" i="10"/>
  <c r="D394" i="10"/>
  <c r="E393" i="10"/>
  <c r="D393" i="10"/>
  <c r="E392" i="10"/>
  <c r="D392" i="10"/>
  <c r="E391" i="10"/>
  <c r="D391" i="10"/>
  <c r="E390" i="10"/>
  <c r="D390" i="10"/>
  <c r="E389" i="10"/>
  <c r="D389" i="10"/>
  <c r="E388" i="10"/>
  <c r="D388" i="10"/>
  <c r="E387" i="10"/>
  <c r="D387" i="10"/>
  <c r="E386" i="10"/>
  <c r="D386" i="10"/>
  <c r="E385" i="10"/>
  <c r="D385" i="10"/>
  <c r="E384" i="10"/>
  <c r="D384" i="10"/>
  <c r="E383" i="10"/>
  <c r="D383" i="10"/>
  <c r="E382" i="10"/>
  <c r="D382" i="10"/>
  <c r="E381" i="10"/>
  <c r="D381" i="10"/>
  <c r="E380" i="10"/>
  <c r="D380" i="10"/>
  <c r="E379" i="10"/>
  <c r="D379" i="10"/>
  <c r="E378" i="10"/>
  <c r="D378" i="10"/>
  <c r="E377" i="10"/>
  <c r="D377" i="10"/>
  <c r="E376" i="10"/>
  <c r="D376" i="10"/>
  <c r="E375" i="10"/>
  <c r="D375" i="10"/>
  <c r="E374" i="10"/>
  <c r="D374" i="10"/>
  <c r="E373" i="10"/>
  <c r="D373" i="10"/>
  <c r="E372" i="10"/>
  <c r="D372" i="10"/>
  <c r="E371" i="10"/>
  <c r="D371" i="10"/>
  <c r="E370" i="10"/>
  <c r="D370" i="10"/>
  <c r="E369" i="10"/>
  <c r="D369" i="10"/>
  <c r="E368" i="10"/>
  <c r="D368" i="10"/>
  <c r="E367" i="10"/>
  <c r="D367" i="10"/>
  <c r="E366" i="10"/>
  <c r="D366" i="10"/>
  <c r="E365" i="10"/>
  <c r="D365" i="10"/>
  <c r="E364" i="10"/>
  <c r="D364" i="10"/>
  <c r="E363" i="10"/>
  <c r="D363" i="10"/>
  <c r="E362" i="10"/>
  <c r="D362" i="10"/>
  <c r="E361" i="10"/>
  <c r="D361" i="10"/>
  <c r="E360" i="10"/>
  <c r="D360" i="10"/>
  <c r="E359" i="10"/>
  <c r="D359" i="10"/>
  <c r="E358" i="10"/>
  <c r="D358" i="10"/>
  <c r="E357" i="10"/>
  <c r="D357" i="10"/>
  <c r="E356" i="10"/>
  <c r="D356" i="10"/>
  <c r="E355" i="10"/>
  <c r="D355" i="10"/>
  <c r="E354" i="10"/>
  <c r="D354" i="10"/>
  <c r="E353" i="10"/>
  <c r="D353" i="10"/>
  <c r="E352" i="10"/>
  <c r="D352" i="10"/>
  <c r="E351" i="10"/>
  <c r="D351" i="10"/>
  <c r="E350" i="10"/>
  <c r="D350" i="10"/>
  <c r="E349" i="10"/>
  <c r="D349" i="10"/>
  <c r="E348" i="10"/>
  <c r="D348" i="10"/>
  <c r="E347" i="10"/>
  <c r="D347" i="10"/>
  <c r="E346" i="10"/>
  <c r="D346" i="10"/>
  <c r="E345" i="10"/>
  <c r="D345" i="10"/>
  <c r="E344" i="10"/>
  <c r="D344" i="10"/>
  <c r="E343" i="10"/>
  <c r="D343" i="10"/>
  <c r="E342" i="10"/>
  <c r="D342" i="10"/>
  <c r="E341" i="10"/>
  <c r="D341" i="10"/>
  <c r="E340" i="10"/>
  <c r="D340" i="10"/>
  <c r="E339" i="10"/>
  <c r="D339" i="10"/>
  <c r="E338" i="10"/>
  <c r="D338" i="10"/>
  <c r="E337" i="10"/>
  <c r="D337" i="10"/>
  <c r="E336" i="10"/>
  <c r="D336" i="10"/>
  <c r="E335" i="10"/>
  <c r="D335" i="10"/>
  <c r="E334" i="10"/>
  <c r="D334" i="10"/>
  <c r="E333" i="10"/>
  <c r="D333" i="10"/>
  <c r="E332" i="10"/>
  <c r="D332" i="10"/>
  <c r="E331" i="10"/>
  <c r="D331" i="10"/>
  <c r="E330" i="10"/>
  <c r="D330" i="10"/>
  <c r="E329" i="10"/>
  <c r="D329" i="10"/>
  <c r="E328" i="10"/>
  <c r="D328" i="10"/>
  <c r="E327" i="10"/>
  <c r="D327" i="10"/>
  <c r="E326" i="10"/>
  <c r="D326" i="10"/>
  <c r="E325" i="10"/>
  <c r="D325" i="10"/>
  <c r="E324" i="10"/>
  <c r="D324" i="10"/>
  <c r="E323" i="10"/>
  <c r="D323" i="10"/>
  <c r="E322" i="10"/>
  <c r="D322" i="10"/>
  <c r="E321" i="10"/>
  <c r="D321" i="10"/>
  <c r="E320" i="10"/>
  <c r="D320" i="10"/>
  <c r="E319" i="10"/>
  <c r="D319" i="10"/>
  <c r="E318" i="10"/>
  <c r="D318" i="10"/>
  <c r="E317" i="10"/>
  <c r="D317" i="10"/>
  <c r="E316" i="10"/>
  <c r="D316" i="10"/>
  <c r="E315" i="10"/>
  <c r="D315" i="10"/>
  <c r="E314" i="10"/>
  <c r="D314" i="10"/>
  <c r="E313" i="10"/>
  <c r="D313" i="10"/>
  <c r="E312" i="10"/>
  <c r="D312" i="10"/>
  <c r="E311" i="10"/>
  <c r="D311" i="10"/>
  <c r="E310" i="10"/>
  <c r="D310" i="10"/>
  <c r="E309" i="10"/>
  <c r="D309" i="10"/>
  <c r="E308" i="10"/>
  <c r="D308" i="10"/>
  <c r="E307" i="10"/>
  <c r="D307" i="10"/>
  <c r="E306" i="10"/>
  <c r="D306" i="10"/>
  <c r="E305" i="10"/>
  <c r="D305" i="10"/>
  <c r="E304" i="10"/>
  <c r="D304" i="10"/>
  <c r="E303" i="10"/>
  <c r="D303" i="10"/>
  <c r="E302" i="10"/>
  <c r="D302" i="10"/>
  <c r="E301" i="10"/>
  <c r="D301" i="10"/>
  <c r="E300" i="10"/>
  <c r="D300" i="10"/>
  <c r="E299" i="10"/>
  <c r="D299" i="10"/>
  <c r="E298" i="10"/>
  <c r="D298" i="10"/>
  <c r="E297" i="10"/>
  <c r="D297" i="10"/>
  <c r="E296" i="10"/>
  <c r="D296" i="10"/>
  <c r="E295" i="10"/>
  <c r="D295" i="10"/>
  <c r="E294" i="10"/>
  <c r="D294" i="10"/>
  <c r="E293" i="10"/>
  <c r="D293" i="10"/>
  <c r="E292" i="10"/>
  <c r="D292" i="10"/>
  <c r="E291" i="10"/>
  <c r="D291" i="10"/>
  <c r="E290" i="10"/>
  <c r="D290" i="10"/>
  <c r="E289" i="10"/>
  <c r="D289" i="10"/>
  <c r="E288" i="10"/>
  <c r="D288" i="10"/>
  <c r="E287" i="10"/>
  <c r="D287" i="10"/>
  <c r="E286" i="10"/>
  <c r="D286" i="10"/>
  <c r="E285" i="10"/>
  <c r="D285" i="10"/>
  <c r="E284" i="10"/>
  <c r="D284" i="10"/>
  <c r="E283" i="10"/>
  <c r="D283" i="10"/>
  <c r="E282" i="10"/>
  <c r="D282" i="10"/>
  <c r="E281" i="10"/>
  <c r="D281" i="10"/>
  <c r="E280" i="10"/>
  <c r="D280" i="10"/>
  <c r="E279" i="10"/>
  <c r="D279" i="10"/>
  <c r="E278" i="10"/>
  <c r="D278" i="10"/>
  <c r="E277" i="10"/>
  <c r="D277" i="10"/>
  <c r="E276" i="10"/>
  <c r="D276" i="10"/>
  <c r="E275" i="10"/>
  <c r="D275" i="10"/>
  <c r="E274" i="10"/>
  <c r="D274" i="10"/>
  <c r="E273" i="10"/>
  <c r="D273" i="10"/>
  <c r="E272" i="10"/>
  <c r="D272" i="10"/>
  <c r="E271" i="10"/>
  <c r="D271" i="10"/>
  <c r="E270" i="10"/>
  <c r="D270" i="10"/>
  <c r="E269" i="10"/>
  <c r="D269" i="10"/>
  <c r="E268" i="10"/>
  <c r="D268" i="10"/>
  <c r="E267" i="10"/>
  <c r="D267" i="10"/>
  <c r="E266" i="10"/>
  <c r="D266" i="10"/>
  <c r="E265" i="10"/>
  <c r="D265" i="10"/>
  <c r="E264" i="10"/>
  <c r="D264" i="10"/>
  <c r="E263" i="10"/>
  <c r="D263" i="10"/>
  <c r="E262" i="10"/>
  <c r="D262" i="10"/>
  <c r="E261" i="10"/>
  <c r="D261" i="10"/>
  <c r="E260" i="10"/>
  <c r="D260" i="10"/>
  <c r="E259" i="10"/>
  <c r="D259" i="10"/>
  <c r="E258" i="10"/>
  <c r="D258" i="10"/>
  <c r="E257" i="10"/>
  <c r="D257" i="10"/>
  <c r="E256" i="10"/>
  <c r="D256" i="10"/>
  <c r="E255" i="10"/>
  <c r="D255" i="10"/>
  <c r="E254" i="10"/>
  <c r="D254" i="10"/>
  <c r="E253" i="10"/>
  <c r="D253" i="10"/>
  <c r="E252" i="10"/>
  <c r="D252" i="10"/>
  <c r="E251" i="10"/>
  <c r="D251" i="10"/>
  <c r="E250" i="10"/>
  <c r="D250" i="10"/>
  <c r="E249" i="10"/>
  <c r="D249" i="10"/>
  <c r="E248" i="10"/>
  <c r="D248" i="10"/>
  <c r="E247" i="10"/>
  <c r="D247" i="10"/>
  <c r="E246" i="10"/>
  <c r="D246" i="10"/>
  <c r="E245" i="10"/>
  <c r="D245" i="10"/>
  <c r="E244" i="10"/>
  <c r="D244" i="10"/>
  <c r="E243" i="10"/>
  <c r="D243" i="10"/>
  <c r="E242" i="10"/>
  <c r="D242" i="10"/>
  <c r="E241" i="10"/>
  <c r="D241" i="10"/>
  <c r="E240" i="10"/>
  <c r="D240" i="10"/>
  <c r="E239" i="10"/>
  <c r="D239" i="10"/>
  <c r="E238" i="10"/>
  <c r="D238" i="10"/>
  <c r="E237" i="10"/>
  <c r="D237" i="10"/>
  <c r="E236" i="10"/>
  <c r="D236" i="10"/>
  <c r="E235" i="10"/>
  <c r="D235" i="10"/>
  <c r="E234" i="10"/>
  <c r="D234" i="10"/>
  <c r="E233" i="10"/>
  <c r="D233" i="10"/>
  <c r="E232" i="10"/>
  <c r="D232" i="10"/>
  <c r="E231" i="10"/>
  <c r="D231" i="10"/>
  <c r="E230" i="10"/>
  <c r="D230" i="10"/>
  <c r="E229" i="10"/>
  <c r="D229" i="10"/>
  <c r="E228" i="10"/>
  <c r="D228" i="10"/>
  <c r="E227" i="10"/>
  <c r="D227" i="10"/>
  <c r="E226" i="10"/>
  <c r="D226" i="10"/>
  <c r="E225" i="10"/>
  <c r="D225" i="10"/>
  <c r="E224" i="10"/>
  <c r="D224" i="10"/>
  <c r="E223" i="10"/>
  <c r="D223" i="10"/>
  <c r="E222" i="10"/>
  <c r="D222" i="10"/>
  <c r="E221" i="10"/>
  <c r="D221" i="10"/>
  <c r="E220" i="10"/>
  <c r="D220" i="10"/>
  <c r="E219" i="10"/>
  <c r="D219" i="10"/>
  <c r="E218" i="10"/>
  <c r="D218" i="10"/>
  <c r="E217" i="10"/>
  <c r="D217" i="10"/>
  <c r="E216" i="10"/>
  <c r="D216" i="10"/>
  <c r="E215" i="10"/>
  <c r="D215" i="10"/>
  <c r="E214" i="10"/>
  <c r="D214" i="10"/>
  <c r="E213" i="10"/>
  <c r="D213" i="10"/>
  <c r="E212" i="10"/>
  <c r="D212" i="10"/>
  <c r="E211" i="10"/>
  <c r="D211" i="10"/>
  <c r="E210" i="10"/>
  <c r="D210" i="10"/>
  <c r="E209" i="10"/>
  <c r="D209" i="10"/>
  <c r="E208" i="10"/>
  <c r="D208" i="10"/>
  <c r="E207" i="10"/>
  <c r="D207" i="10"/>
  <c r="E206" i="10"/>
  <c r="D206" i="10"/>
  <c r="E205" i="10"/>
  <c r="D205" i="10"/>
  <c r="E204" i="10"/>
  <c r="D204" i="10"/>
  <c r="E203" i="10"/>
  <c r="D203" i="10"/>
  <c r="E202" i="10"/>
  <c r="D202" i="10"/>
  <c r="E201" i="10"/>
  <c r="D201" i="10"/>
  <c r="E200" i="10"/>
  <c r="D200" i="10"/>
  <c r="E199" i="10"/>
  <c r="D199" i="10"/>
  <c r="E198" i="10"/>
  <c r="D198" i="10"/>
  <c r="E197" i="10"/>
  <c r="D197" i="10"/>
  <c r="E196" i="10"/>
  <c r="D196" i="10"/>
  <c r="E195" i="10"/>
  <c r="D195" i="10"/>
  <c r="E194" i="10"/>
  <c r="D194" i="10"/>
  <c r="E193" i="10"/>
  <c r="D193" i="10"/>
  <c r="E192" i="10"/>
  <c r="D192" i="10"/>
  <c r="E191" i="10"/>
  <c r="D191" i="10"/>
  <c r="E190" i="10"/>
  <c r="D190" i="10"/>
  <c r="E189" i="10"/>
  <c r="D189" i="10"/>
  <c r="E188" i="10"/>
  <c r="D188" i="10"/>
  <c r="E187" i="10"/>
  <c r="D187" i="10"/>
  <c r="E186" i="10"/>
  <c r="D186" i="10"/>
  <c r="E185" i="10"/>
  <c r="D185" i="10"/>
  <c r="E184" i="10"/>
  <c r="D184" i="10"/>
  <c r="E183" i="10"/>
  <c r="D183" i="10"/>
  <c r="E182" i="10"/>
  <c r="D182" i="10"/>
  <c r="E181" i="10"/>
  <c r="D181" i="10"/>
  <c r="E180" i="10"/>
  <c r="D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5" i="10"/>
  <c r="D165" i="10"/>
  <c r="E164" i="10"/>
  <c r="D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/>
  <c r="E134" i="10"/>
  <c r="D134" i="10"/>
  <c r="E133" i="10"/>
  <c r="D133" i="10"/>
  <c r="E132" i="10"/>
  <c r="D132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/>
  <c r="E125" i="10"/>
  <c r="D125" i="10"/>
  <c r="E124" i="10"/>
  <c r="D124" i="10"/>
  <c r="E123" i="10"/>
  <c r="D123" i="10"/>
  <c r="E122" i="10"/>
  <c r="D122" i="10"/>
  <c r="E121" i="10"/>
  <c r="D121" i="10"/>
  <c r="E120" i="10"/>
  <c r="D120" i="10"/>
  <c r="E119" i="10"/>
  <c r="D119" i="10"/>
  <c r="E118" i="10"/>
  <c r="D118" i="10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/>
  <c r="E109" i="10"/>
  <c r="D109" i="10"/>
  <c r="E108" i="10"/>
  <c r="D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J7" i="10" s="1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J5" i="10" s="1"/>
  <c r="D4" i="10"/>
  <c r="E3" i="10"/>
  <c r="D3" i="10"/>
  <c r="Q15" i="7"/>
  <c r="Q19" i="7"/>
  <c r="Q18" i="7"/>
  <c r="Q17" i="7"/>
  <c r="Q16" i="7"/>
  <c r="Q13" i="7"/>
  <c r="Q12" i="7"/>
  <c r="Q11" i="7"/>
  <c r="Q10" i="7"/>
  <c r="L7" i="7"/>
  <c r="Q7" i="7" s="1"/>
  <c r="M7" i="7"/>
  <c r="N7" i="7"/>
  <c r="G21" i="7"/>
  <c r="F21" i="7"/>
  <c r="E21" i="7"/>
  <c r="G20" i="7"/>
  <c r="G19" i="7" s="1"/>
  <c r="F20" i="7"/>
  <c r="F19" i="7" s="1"/>
  <c r="E20" i="7"/>
  <c r="I5" i="10"/>
  <c r="I6" i="10"/>
  <c r="I7" i="10"/>
  <c r="F18" i="7"/>
  <c r="F16" i="7"/>
  <c r="E16" i="7"/>
  <c r="E12" i="7"/>
  <c r="G11" i="7"/>
  <c r="F11" i="7"/>
  <c r="G9" i="7"/>
  <c r="F9" i="7"/>
  <c r="E9" i="7"/>
  <c r="E7" i="7" s="1"/>
  <c r="F8" i="7"/>
  <c r="E8" i="7"/>
  <c r="F7" i="7"/>
  <c r="F4" i="5"/>
  <c r="F5" i="5" s="1"/>
  <c r="I9" i="9"/>
  <c r="H9" i="9"/>
  <c r="G9" i="9"/>
  <c r="F9" i="9"/>
  <c r="E9" i="9"/>
  <c r="D9" i="9"/>
  <c r="I8" i="9"/>
  <c r="H8" i="9"/>
  <c r="G8" i="9"/>
  <c r="F8" i="9"/>
  <c r="E8" i="9"/>
  <c r="D8" i="9"/>
  <c r="H7" i="9"/>
  <c r="E7" i="9"/>
  <c r="F51" i="3"/>
  <c r="E51" i="3"/>
  <c r="D51" i="3"/>
  <c r="C51" i="3"/>
  <c r="E49" i="3"/>
  <c r="B49" i="3"/>
  <c r="C49" i="3"/>
  <c r="C50" i="3" s="1"/>
  <c r="F49" i="3"/>
  <c r="D49" i="3"/>
  <c r="F35" i="3"/>
  <c r="E35" i="3"/>
  <c r="E50" i="3" s="1"/>
  <c r="D35" i="3"/>
  <c r="C35" i="3"/>
  <c r="B35" i="3"/>
  <c r="F28" i="3"/>
  <c r="F50" i="3" s="1"/>
  <c r="E28" i="3"/>
  <c r="D28" i="3"/>
  <c r="D50" i="3" s="1"/>
  <c r="C28" i="3"/>
  <c r="B28" i="3"/>
  <c r="B50" i="3"/>
  <c r="F33" i="4"/>
  <c r="E33" i="4"/>
  <c r="D33" i="4"/>
  <c r="B33" i="4"/>
  <c r="C15" i="4"/>
  <c r="C20" i="4"/>
  <c r="B19" i="4"/>
  <c r="G7" i="4"/>
  <c r="F7" i="4"/>
  <c r="E7" i="4"/>
  <c r="D7" i="4"/>
  <c r="C7" i="4"/>
  <c r="B7" i="4"/>
  <c r="G17" i="4"/>
  <c r="F17" i="4"/>
  <c r="E17" i="4"/>
  <c r="C17" i="4"/>
  <c r="B17" i="4"/>
  <c r="G3" i="4"/>
  <c r="C3" i="4"/>
  <c r="B3" i="4"/>
  <c r="B14" i="4" s="1"/>
  <c r="G16" i="4"/>
  <c r="F16" i="4"/>
  <c r="E16" i="4"/>
  <c r="D16" i="4"/>
  <c r="C16" i="4"/>
  <c r="F15" i="4"/>
  <c r="G12" i="4"/>
  <c r="G13" i="4"/>
  <c r="F12" i="4"/>
  <c r="F13" i="4"/>
  <c r="E12" i="4"/>
  <c r="E13" i="4"/>
  <c r="D12" i="4"/>
  <c r="D13" i="4"/>
  <c r="C12" i="4"/>
  <c r="C13" i="4"/>
  <c r="B12" i="4"/>
  <c r="B13" i="4"/>
  <c r="G10" i="4"/>
  <c r="G11" i="4"/>
  <c r="F10" i="4"/>
  <c r="F11" i="4"/>
  <c r="E10" i="4"/>
  <c r="E11" i="4"/>
  <c r="D10" i="4"/>
  <c r="D11" i="4"/>
  <c r="C10" i="4"/>
  <c r="C11" i="4"/>
  <c r="B10" i="4"/>
  <c r="B11" i="4"/>
  <c r="G8" i="4"/>
  <c r="F8" i="4"/>
  <c r="E8" i="4"/>
  <c r="D8" i="4"/>
  <c r="C8" i="4"/>
  <c r="B8" i="4"/>
  <c r="G6" i="4"/>
  <c r="I14" i="9"/>
  <c r="D6" i="4"/>
  <c r="C6" i="4"/>
  <c r="F17" i="7" s="1"/>
  <c r="B6" i="4"/>
  <c r="G4" i="4"/>
  <c r="G5" i="4" s="1"/>
  <c r="F4" i="4"/>
  <c r="F5" i="4" s="1"/>
  <c r="E4" i="4"/>
  <c r="E5" i="4" s="1"/>
  <c r="D4" i="4"/>
  <c r="D5" i="4" s="1"/>
  <c r="C4" i="4"/>
  <c r="C5" i="4" s="1"/>
  <c r="B4" i="4"/>
  <c r="B5" i="4" s="1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5" i="2"/>
  <c r="S26" i="2"/>
  <c r="S27" i="2"/>
  <c r="S28" i="2"/>
  <c r="S29" i="2"/>
  <c r="S30" i="2"/>
  <c r="S5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2" i="2"/>
  <c r="P25" i="2"/>
  <c r="P26" i="2"/>
  <c r="P27" i="2"/>
  <c r="P28" i="2"/>
  <c r="P29" i="2"/>
  <c r="P5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5" i="2"/>
  <c r="M26" i="2"/>
  <c r="M27" i="2"/>
  <c r="M28" i="2"/>
  <c r="M29" i="2"/>
  <c r="M5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2" i="2"/>
  <c r="J25" i="2"/>
  <c r="J26" i="2"/>
  <c r="J27" i="2"/>
  <c r="J28" i="2"/>
  <c r="J29" i="2"/>
  <c r="J5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5" i="2"/>
  <c r="G26" i="2"/>
  <c r="G27" i="2"/>
  <c r="G28" i="2"/>
  <c r="G29" i="2"/>
  <c r="G30" i="2"/>
  <c r="G5" i="2"/>
  <c r="L5" i="2"/>
  <c r="C30" i="2"/>
  <c r="O28" i="2"/>
  <c r="O30" i="2"/>
  <c r="R30" i="2"/>
  <c r="C20" i="2"/>
  <c r="F22" i="2"/>
  <c r="I20" i="2"/>
  <c r="O20" i="2"/>
  <c r="O5" i="2"/>
  <c r="C8" i="2"/>
  <c r="C9" i="2"/>
  <c r="C10" i="2"/>
  <c r="C11" i="2"/>
  <c r="C12" i="2"/>
  <c r="C13" i="2"/>
  <c r="C14" i="2"/>
  <c r="C15" i="2"/>
  <c r="C16" i="2"/>
  <c r="C17" i="2"/>
  <c r="C18" i="2"/>
  <c r="C19" i="2"/>
  <c r="C25" i="2"/>
  <c r="C26" i="2"/>
  <c r="C27" i="2"/>
  <c r="C28" i="2"/>
  <c r="C29" i="2"/>
  <c r="C5" i="2"/>
  <c r="F8" i="2"/>
  <c r="F9" i="2"/>
  <c r="F10" i="2"/>
  <c r="F11" i="2"/>
  <c r="F12" i="2"/>
  <c r="F13" i="2"/>
  <c r="F14" i="2"/>
  <c r="F15" i="2"/>
  <c r="F16" i="2"/>
  <c r="F17" i="2"/>
  <c r="F18" i="2"/>
  <c r="F19" i="2"/>
  <c r="F25" i="2"/>
  <c r="F26" i="2"/>
  <c r="F27" i="2"/>
  <c r="F28" i="2"/>
  <c r="F29" i="2"/>
  <c r="F5" i="2"/>
  <c r="I8" i="2"/>
  <c r="I9" i="2"/>
  <c r="I10" i="2"/>
  <c r="I11" i="2"/>
  <c r="I12" i="2"/>
  <c r="I13" i="2"/>
  <c r="I14" i="2"/>
  <c r="I15" i="2"/>
  <c r="I16" i="2"/>
  <c r="I17" i="2"/>
  <c r="I18" i="2"/>
  <c r="I19" i="2"/>
  <c r="I25" i="2"/>
  <c r="I26" i="2"/>
  <c r="I27" i="2"/>
  <c r="I28" i="2"/>
  <c r="I29" i="2"/>
  <c r="I5" i="2"/>
  <c r="L8" i="2"/>
  <c r="L9" i="2"/>
  <c r="L10" i="2"/>
  <c r="L11" i="2"/>
  <c r="L12" i="2"/>
  <c r="L13" i="2"/>
  <c r="L14" i="2"/>
  <c r="L15" i="2"/>
  <c r="L16" i="2"/>
  <c r="L17" i="2"/>
  <c r="L18" i="2"/>
  <c r="L19" i="2"/>
  <c r="L25" i="2"/>
  <c r="L26" i="2"/>
  <c r="L27" i="2"/>
  <c r="L28" i="2"/>
  <c r="L29" i="2"/>
  <c r="O8" i="2"/>
  <c r="O9" i="2"/>
  <c r="O10" i="2"/>
  <c r="O11" i="2"/>
  <c r="O12" i="2"/>
  <c r="O13" i="2"/>
  <c r="O14" i="2"/>
  <c r="O15" i="2"/>
  <c r="O16" i="2"/>
  <c r="O17" i="2"/>
  <c r="O18" i="2"/>
  <c r="O19" i="2"/>
  <c r="O25" i="2"/>
  <c r="O26" i="2"/>
  <c r="O27" i="2"/>
  <c r="O29" i="2"/>
  <c r="R8" i="2"/>
  <c r="R9" i="2"/>
  <c r="R10" i="2"/>
  <c r="R11" i="2"/>
  <c r="R12" i="2"/>
  <c r="R13" i="2"/>
  <c r="R14" i="2"/>
  <c r="R15" i="2"/>
  <c r="R16" i="2"/>
  <c r="R17" i="2"/>
  <c r="R18" i="2"/>
  <c r="R19" i="2"/>
  <c r="R25" i="2"/>
  <c r="R26" i="2"/>
  <c r="R27" i="2"/>
  <c r="R28" i="2"/>
  <c r="R29" i="2"/>
  <c r="R5" i="2"/>
  <c r="D14" i="9"/>
  <c r="E17" i="7"/>
  <c r="F14" i="9"/>
  <c r="G17" i="7"/>
  <c r="E14" i="4"/>
  <c r="G14" i="4"/>
  <c r="E14" i="9"/>
  <c r="L63" i="1"/>
  <c r="M40" i="1"/>
  <c r="C32" i="2"/>
  <c r="L20" i="2"/>
  <c r="F20" i="2"/>
  <c r="C22" i="2"/>
  <c r="F63" i="1"/>
  <c r="B63" i="1"/>
  <c r="D63" i="1"/>
  <c r="E18" i="1"/>
  <c r="M42" i="1"/>
  <c r="M45" i="1"/>
  <c r="M58" i="1"/>
  <c r="M46" i="1"/>
  <c r="M59" i="1"/>
  <c r="M51" i="1"/>
  <c r="M63" i="1"/>
  <c r="M44" i="1"/>
  <c r="M57" i="1"/>
  <c r="M39" i="1"/>
  <c r="M43" i="1"/>
  <c r="M47" i="1"/>
  <c r="M60" i="1"/>
  <c r="M61" i="1"/>
  <c r="I22" i="2"/>
  <c r="O22" i="2"/>
  <c r="K9" i="1"/>
  <c r="K11" i="1"/>
  <c r="K13" i="1"/>
  <c r="K15" i="1"/>
  <c r="K17" i="1"/>
  <c r="K21" i="1"/>
  <c r="K27" i="1"/>
  <c r="K29" i="1"/>
  <c r="K31" i="1"/>
  <c r="K34" i="1"/>
  <c r="K8" i="1"/>
  <c r="K10" i="1"/>
  <c r="K12" i="1"/>
  <c r="K14" i="1"/>
  <c r="K16" i="1"/>
  <c r="K18" i="1"/>
  <c r="K22" i="1"/>
  <c r="K26" i="1"/>
  <c r="K28" i="1"/>
  <c r="K30" i="1"/>
  <c r="K32" i="1"/>
  <c r="K7" i="1"/>
  <c r="G40" i="1"/>
  <c r="G42" i="1"/>
  <c r="G46" i="1"/>
  <c r="G50" i="1"/>
  <c r="G52" i="1"/>
  <c r="G59" i="1"/>
  <c r="G39" i="1"/>
  <c r="G41" i="1"/>
  <c r="G45" i="1"/>
  <c r="G47" i="1"/>
  <c r="G51" i="1"/>
  <c r="G60" i="1"/>
  <c r="G63" i="1"/>
  <c r="E9" i="1"/>
  <c r="E11" i="1"/>
  <c r="E13" i="1"/>
  <c r="E15" i="1"/>
  <c r="E17" i="1"/>
  <c r="E21" i="1"/>
  <c r="E27" i="1"/>
  <c r="E29" i="1"/>
  <c r="E31" i="1"/>
  <c r="E34" i="1"/>
  <c r="E8" i="1"/>
  <c r="E10" i="1"/>
  <c r="E12" i="1"/>
  <c r="E14" i="1"/>
  <c r="E16" i="1"/>
  <c r="E22" i="1"/>
  <c r="E26" i="1"/>
  <c r="E28" i="1"/>
  <c r="E30" i="1"/>
  <c r="E7" i="1"/>
  <c r="E40" i="1"/>
  <c r="E42" i="1"/>
  <c r="E44" i="1"/>
  <c r="E46" i="1"/>
  <c r="E50" i="1"/>
  <c r="E52" i="1"/>
  <c r="E57" i="1"/>
  <c r="E59" i="1"/>
  <c r="E39" i="1"/>
  <c r="E41" i="1"/>
  <c r="E43" i="1"/>
  <c r="E45" i="1"/>
  <c r="E51" i="1"/>
  <c r="E53" i="1"/>
  <c r="E58" i="1"/>
  <c r="E60" i="1"/>
  <c r="E63" i="1"/>
  <c r="C42" i="1"/>
  <c r="C46" i="1"/>
  <c r="C59" i="1"/>
  <c r="C39" i="1"/>
  <c r="C47" i="1"/>
  <c r="C51" i="1"/>
  <c r="C53" i="1"/>
  <c r="E32" i="1"/>
  <c r="E61" i="1"/>
  <c r="K23" i="1"/>
  <c r="G61" i="1"/>
  <c r="E47" i="1"/>
  <c r="C11" i="1"/>
  <c r="C13" i="1"/>
  <c r="C15" i="1"/>
  <c r="C21" i="1"/>
  <c r="C27" i="1"/>
  <c r="C29" i="1"/>
  <c r="C34" i="1"/>
  <c r="C8" i="1"/>
  <c r="C10" i="1"/>
  <c r="C14" i="1"/>
  <c r="C16" i="1"/>
  <c r="C18" i="1"/>
  <c r="C26" i="1"/>
  <c r="C28" i="1"/>
  <c r="C30" i="1"/>
  <c r="C7" i="1"/>
  <c r="C23" i="1"/>
  <c r="C44" i="1" l="1"/>
  <c r="C57" i="1"/>
  <c r="C43" i="1"/>
  <c r="C58" i="1"/>
  <c r="H63" i="1"/>
  <c r="B35" i="4"/>
  <c r="B23" i="4"/>
  <c r="B34" i="2"/>
  <c r="D5" i="9"/>
  <c r="B21" i="4"/>
  <c r="D13" i="9" s="1"/>
  <c r="H32" i="2"/>
  <c r="G8" i="7"/>
  <c r="M22" i="2"/>
  <c r="G12" i="7"/>
  <c r="Q22" i="2"/>
  <c r="R20" i="2"/>
  <c r="M30" i="2"/>
  <c r="G7" i="8"/>
  <c r="K7" i="8" s="1"/>
  <c r="C63" i="1"/>
  <c r="C45" i="1"/>
  <c r="C52" i="1"/>
  <c r="C40" i="1"/>
  <c r="G44" i="1"/>
  <c r="G57" i="1"/>
  <c r="G43" i="1"/>
  <c r="G58" i="1"/>
  <c r="G53" i="1"/>
  <c r="L30" i="2"/>
  <c r="B31" i="4"/>
  <c r="B20" i="4"/>
  <c r="B15" i="4"/>
  <c r="B22" i="4" s="1"/>
  <c r="C9" i="1"/>
  <c r="C17" i="1"/>
  <c r="C31" i="1"/>
  <c r="C12" i="1"/>
  <c r="C22" i="1"/>
  <c r="C32" i="1"/>
  <c r="E14" i="7"/>
  <c r="E13" i="7" s="1"/>
  <c r="E18" i="7"/>
  <c r="D7" i="9"/>
  <c r="L34" i="1"/>
  <c r="M32" i="1"/>
  <c r="C14" i="4"/>
  <c r="F10" i="7"/>
  <c r="J6" i="10"/>
  <c r="E29" i="4"/>
  <c r="I53" i="1"/>
  <c r="E26" i="4"/>
  <c r="E32" i="4" s="1"/>
  <c r="G12" i="9" s="1"/>
  <c r="C60" i="1"/>
  <c r="C41" i="1"/>
  <c r="C50" i="1"/>
  <c r="J17" i="7"/>
  <c r="U17" i="7" s="1"/>
  <c r="L7" i="3"/>
  <c r="T11" i="7"/>
  <c r="V11" i="7"/>
  <c r="X11" i="7"/>
  <c r="H17" i="7"/>
  <c r="G14" i="9"/>
  <c r="C31" i="4"/>
  <c r="E23" i="1"/>
  <c r="G10" i="7"/>
  <c r="D14" i="4"/>
  <c r="F12" i="7"/>
  <c r="J12" i="7" s="1"/>
  <c r="U12" i="7" s="1"/>
  <c r="C33" i="4"/>
  <c r="G22" i="2"/>
  <c r="G31" i="4"/>
  <c r="G28" i="4"/>
  <c r="G13" i="8"/>
  <c r="K13" i="8" s="1"/>
  <c r="F6" i="5"/>
  <c r="M53" i="1"/>
  <c r="I18" i="7"/>
  <c r="I14" i="7"/>
  <c r="I13" i="7" s="1"/>
  <c r="N32" i="2"/>
  <c r="I12" i="7"/>
  <c r="N7" i="3"/>
  <c r="I8" i="7"/>
  <c r="I7" i="7" s="1"/>
  <c r="F20" i="4"/>
  <c r="S22" i="2"/>
  <c r="K32" i="2"/>
  <c r="H8" i="7"/>
  <c r="M7" i="3"/>
  <c r="L22" i="2"/>
  <c r="I8" i="10"/>
  <c r="I9" i="10" s="1"/>
  <c r="F34" i="1"/>
  <c r="E32" i="2"/>
  <c r="C24" i="4"/>
  <c r="E15" i="9" s="1"/>
  <c r="C61" i="1"/>
  <c r="F6" i="9"/>
  <c r="D24" i="4" s="1"/>
  <c r="F15" i="9" s="1"/>
  <c r="D27" i="4"/>
  <c r="G16" i="7"/>
  <c r="D17" i="4"/>
  <c r="F16" i="5"/>
  <c r="F17" i="5" s="1"/>
  <c r="F31" i="4"/>
  <c r="F28" i="4"/>
  <c r="J63" i="1"/>
  <c r="R7" i="7"/>
  <c r="H12" i="7"/>
  <c r="F26" i="4"/>
  <c r="F32" i="4" s="1"/>
  <c r="H12" i="9" s="1"/>
  <c r="H34" i="1"/>
  <c r="H16" i="7" s="1"/>
  <c r="K16" i="7" s="1"/>
  <c r="M52" i="1"/>
  <c r="M41" i="1"/>
  <c r="M50" i="1"/>
  <c r="G7" i="7"/>
  <c r="I10" i="10"/>
  <c r="F13" i="5" s="1"/>
  <c r="F14" i="5" s="1"/>
  <c r="F14" i="7"/>
  <c r="G42" i="8"/>
  <c r="K42" i="8" s="1"/>
  <c r="K7" i="3"/>
  <c r="D28" i="4"/>
  <c r="E11" i="7"/>
  <c r="J11" i="7" s="1"/>
  <c r="U11" i="7" s="1"/>
  <c r="B16" i="4"/>
  <c r="J30" i="2"/>
  <c r="F30" i="2"/>
  <c r="F24" i="4"/>
  <c r="H15" i="9" s="1"/>
  <c r="H9" i="7"/>
  <c r="G6" i="9"/>
  <c r="E24" i="4" s="1"/>
  <c r="G15" i="9" s="1"/>
  <c r="E27" i="4"/>
  <c r="E19" i="7"/>
  <c r="G24" i="4"/>
  <c r="I15" i="9" s="1"/>
  <c r="K17" i="7"/>
  <c r="T17" i="7" s="1"/>
  <c r="H19" i="7"/>
  <c r="K19" i="7" s="1"/>
  <c r="V19" i="7" s="1"/>
  <c r="F7" i="5"/>
  <c r="F8" i="5"/>
  <c r="X10" i="7"/>
  <c r="V10" i="7"/>
  <c r="T10" i="7"/>
  <c r="X17" i="7"/>
  <c r="F9" i="5"/>
  <c r="F14" i="4"/>
  <c r="E10" i="7"/>
  <c r="J10" i="7" s="1"/>
  <c r="U10" i="7" s="1"/>
  <c r="H14" i="9"/>
  <c r="J16" i="7" l="1"/>
  <c r="U16" i="7" s="1"/>
  <c r="X16" i="7"/>
  <c r="V16" i="7"/>
  <c r="T16" i="7"/>
  <c r="E23" i="4"/>
  <c r="E35" i="4"/>
  <c r="K34" i="2"/>
  <c r="E21" i="4"/>
  <c r="G13" i="9" s="1"/>
  <c r="G5" i="9"/>
  <c r="E19" i="4"/>
  <c r="L32" i="2"/>
  <c r="P32" i="2"/>
  <c r="E31" i="4"/>
  <c r="V17" i="7"/>
  <c r="T19" i="7"/>
  <c r="E34" i="2"/>
  <c r="F13" i="7"/>
  <c r="E5" i="9"/>
  <c r="F32" i="2"/>
  <c r="C19" i="4"/>
  <c r="C22" i="4" s="1"/>
  <c r="J32" i="2"/>
  <c r="G32" i="2"/>
  <c r="C23" i="4"/>
  <c r="C21" i="4"/>
  <c r="E13" i="9" s="1"/>
  <c r="C35" i="4"/>
  <c r="K12" i="7"/>
  <c r="Q32" i="2"/>
  <c r="G11" i="8"/>
  <c r="K11" i="8" s="1"/>
  <c r="G33" i="4"/>
  <c r="G20" i="4"/>
  <c r="G40" i="8"/>
  <c r="K40" i="8" s="1"/>
  <c r="R22" i="2"/>
  <c r="X19" i="7"/>
  <c r="D15" i="4"/>
  <c r="G8" i="1"/>
  <c r="G16" i="1"/>
  <c r="G30" i="1"/>
  <c r="G13" i="1"/>
  <c r="G23" i="1"/>
  <c r="G34" i="1"/>
  <c r="D31" i="4"/>
  <c r="F7" i="9"/>
  <c r="G18" i="1"/>
  <c r="G22" i="1"/>
  <c r="G9" i="1"/>
  <c r="G21" i="1"/>
  <c r="G28" i="1"/>
  <c r="G14" i="1"/>
  <c r="G7" i="1"/>
  <c r="G17" i="1"/>
  <c r="G31" i="1"/>
  <c r="G32" i="1"/>
  <c r="G14" i="7"/>
  <c r="G10" i="1"/>
  <c r="G26" i="1"/>
  <c r="G11" i="1"/>
  <c r="G27" i="1"/>
  <c r="G12" i="1"/>
  <c r="G29" i="1"/>
  <c r="G18" i="7"/>
  <c r="D20" i="4"/>
  <c r="G15" i="1"/>
  <c r="F23" i="4"/>
  <c r="N34" i="2"/>
  <c r="F35" i="4"/>
  <c r="F19" i="4"/>
  <c r="F22" i="4" s="1"/>
  <c r="F21" i="4"/>
  <c r="H13" i="9" s="1"/>
  <c r="O32" i="2"/>
  <c r="S32" i="2"/>
  <c r="H5" i="9"/>
  <c r="G44" i="8"/>
  <c r="K44" i="8" s="1"/>
  <c r="G38" i="8"/>
  <c r="K38" i="8" s="1"/>
  <c r="M7" i="1"/>
  <c r="M15" i="1"/>
  <c r="M12" i="1"/>
  <c r="M11" i="1"/>
  <c r="M10" i="1"/>
  <c r="M27" i="1"/>
  <c r="M22" i="1"/>
  <c r="I7" i="9"/>
  <c r="G9" i="8"/>
  <c r="K9" i="8" s="1"/>
  <c r="K15" i="8" s="1"/>
  <c r="M13" i="1"/>
  <c r="M16" i="1"/>
  <c r="M18" i="1"/>
  <c r="M31" i="1"/>
  <c r="M30" i="1"/>
  <c r="M21" i="1"/>
  <c r="M9" i="1"/>
  <c r="M14" i="1"/>
  <c r="M29" i="1"/>
  <c r="M28" i="1"/>
  <c r="M17" i="1"/>
  <c r="M34" i="1"/>
  <c r="M23" i="1"/>
  <c r="G15" i="4"/>
  <c r="M8" i="1"/>
  <c r="M26" i="1"/>
  <c r="G36" i="8"/>
  <c r="K36" i="8" s="1"/>
  <c r="K46" i="8" s="1"/>
  <c r="H34" i="2"/>
  <c r="D19" i="4"/>
  <c r="F5" i="9"/>
  <c r="I32" i="2"/>
  <c r="D21" i="4"/>
  <c r="F13" i="9" s="1"/>
  <c r="D23" i="4"/>
  <c r="M32" i="2"/>
  <c r="D35" i="4"/>
  <c r="G13" i="7"/>
  <c r="E15" i="7"/>
  <c r="D11" i="9"/>
  <c r="K42" i="1"/>
  <c r="K52" i="1"/>
  <c r="K41" i="1"/>
  <c r="K51" i="1"/>
  <c r="K61" i="1"/>
  <c r="K46" i="1"/>
  <c r="K39" i="1"/>
  <c r="K58" i="1"/>
  <c r="K57" i="1"/>
  <c r="K44" i="1"/>
  <c r="K59" i="1"/>
  <c r="K47" i="1"/>
  <c r="K50" i="1"/>
  <c r="K43" i="1"/>
  <c r="K60" i="1"/>
  <c r="K53" i="1"/>
  <c r="K40" i="1"/>
  <c r="K45" i="1"/>
  <c r="K63" i="1"/>
  <c r="H7" i="7"/>
  <c r="K7" i="7" s="1"/>
  <c r="F18" i="5"/>
  <c r="H14" i="7"/>
  <c r="H13" i="7" s="1"/>
  <c r="K13" i="7" s="1"/>
  <c r="G7" i="9"/>
  <c r="I14" i="1"/>
  <c r="I16" i="1"/>
  <c r="I30" i="1"/>
  <c r="I13" i="1"/>
  <c r="I27" i="1"/>
  <c r="H18" i="7"/>
  <c r="K18" i="7" s="1"/>
  <c r="E15" i="4"/>
  <c r="E22" i="4" s="1"/>
  <c r="I8" i="1"/>
  <c r="I26" i="1"/>
  <c r="I11" i="1"/>
  <c r="I29" i="1"/>
  <c r="I18" i="1"/>
  <c r="I22" i="1"/>
  <c r="I9" i="1"/>
  <c r="I21" i="1"/>
  <c r="I23" i="1"/>
  <c r="E20" i="4"/>
  <c r="I10" i="1"/>
  <c r="I28" i="1"/>
  <c r="I15" i="1"/>
  <c r="I31" i="1"/>
  <c r="I32" i="1"/>
  <c r="I12" i="1"/>
  <c r="I17" i="1"/>
  <c r="I34" i="1"/>
  <c r="I7" i="1"/>
  <c r="J19" i="7"/>
  <c r="U19" i="7" s="1"/>
  <c r="J18" i="7"/>
  <c r="U18" i="7" s="1"/>
  <c r="I41" i="1"/>
  <c r="I60" i="1"/>
  <c r="I47" i="1"/>
  <c r="I52" i="1"/>
  <c r="I44" i="1"/>
  <c r="I45" i="1"/>
  <c r="I63" i="1"/>
  <c r="I42" i="1"/>
  <c r="I50" i="1"/>
  <c r="I51" i="1"/>
  <c r="I43" i="1"/>
  <c r="I61" i="1"/>
  <c r="I59" i="1"/>
  <c r="I46" i="1"/>
  <c r="I58" i="1"/>
  <c r="I39" i="1"/>
  <c r="I40" i="1"/>
  <c r="I57" i="1"/>
  <c r="X13" i="7"/>
  <c r="V13" i="7"/>
  <c r="V18" i="7" l="1"/>
  <c r="T18" i="7"/>
  <c r="X18" i="7"/>
  <c r="D22" i="4"/>
  <c r="F15" i="7"/>
  <c r="J15" i="7" s="1"/>
  <c r="U15" i="7" s="1"/>
  <c r="E11" i="9"/>
  <c r="V7" i="7"/>
  <c r="X7" i="7"/>
  <c r="X12" i="7"/>
  <c r="V12" i="7"/>
  <c r="G15" i="7"/>
  <c r="F11" i="9"/>
  <c r="J13" i="7"/>
  <c r="U13" i="7" s="1"/>
  <c r="H15" i="7"/>
  <c r="G11" i="9"/>
  <c r="I15" i="7"/>
  <c r="H11" i="9"/>
  <c r="I5" i="9"/>
  <c r="R32" i="2"/>
  <c r="G21" i="4"/>
  <c r="I13" i="9" s="1"/>
  <c r="G23" i="4"/>
  <c r="I11" i="9" s="1"/>
  <c r="G35" i="4"/>
  <c r="G38" i="4" s="1"/>
  <c r="Q34" i="2"/>
  <c r="G19" i="4"/>
  <c r="G22" i="4" s="1"/>
  <c r="J7" i="7"/>
  <c r="U7" i="7" s="1"/>
  <c r="K15" i="7" l="1"/>
  <c r="X15" i="7" l="1"/>
  <c r="V15" i="7"/>
</calcChain>
</file>

<file path=xl/sharedStrings.xml><?xml version="1.0" encoding="utf-8"?>
<sst xmlns="http://schemas.openxmlformats.org/spreadsheetml/2006/main" count="1132" uniqueCount="1040">
  <si>
    <t>CONSOLIDATED BALANCE SHEETS COSTAMARE INC.</t>
  </si>
  <si>
    <t xml:space="preserve">(Expressed in thousands of U.S. dollars, except share and per share data) </t>
  </si>
  <si>
    <r>
      <rPr>
        <b/>
        <sz val="14"/>
        <color theme="1"/>
        <rFont val="Calibri"/>
        <family val="2"/>
        <charset val="161"/>
        <scheme val="minor"/>
      </rPr>
      <t>%</t>
    </r>
    <r>
      <rPr>
        <b/>
        <sz val="12"/>
        <color theme="1"/>
        <rFont val="Calibri"/>
        <family val="2"/>
        <charset val="161"/>
        <scheme val="minor"/>
      </rPr>
      <t>annual</t>
    </r>
  </si>
  <si>
    <t>3Q 2013</t>
  </si>
  <si>
    <t>ASSETS</t>
  </si>
  <si>
    <t>CURRENT ASSETS:</t>
  </si>
  <si>
    <t>Cash and cash equivalents</t>
  </si>
  <si>
    <t>Restricted cash</t>
  </si>
  <si>
    <t>Receivables</t>
  </si>
  <si>
    <t>Inventories</t>
  </si>
  <si>
    <t>Due from related parties</t>
  </si>
  <si>
    <t>Fair value of derivatives</t>
  </si>
  <si>
    <t>Insurance claims receivable</t>
  </si>
  <si>
    <t>Accrued charter revenue</t>
  </si>
  <si>
    <t>Prepayments and other</t>
  </si>
  <si>
    <t>Investments</t>
  </si>
  <si>
    <t>Vessels held for sale</t>
  </si>
  <si>
    <t>TOTAL CURRENT ASSETS</t>
  </si>
  <si>
    <t>FIXED ASSETS, NET:</t>
  </si>
  <si>
    <t>Advances for vessel acquisitions</t>
  </si>
  <si>
    <t>Vessels, net</t>
  </si>
  <si>
    <t>TOTAL FIXED ASSETS, NET</t>
  </si>
  <si>
    <t>NON CURRENT ASSETS:</t>
  </si>
  <si>
    <t>Deferred charges, net</t>
  </si>
  <si>
    <t>Receivables, non current</t>
  </si>
  <si>
    <t>TOTAL NON CURRENT ASSETS</t>
  </si>
  <si>
    <t>TOTAL ASSETS</t>
  </si>
  <si>
    <t>LIABILITIES AND STOCKHOLDERS' EQUITY</t>
  </si>
  <si>
    <t>CURRENT LIABILITIES:</t>
  </si>
  <si>
    <t>Current portion of long-term debt</t>
  </si>
  <si>
    <t>Accounts payable</t>
  </si>
  <si>
    <t>Due to related parties</t>
  </si>
  <si>
    <t>Accrued liabilities</t>
  </si>
  <si>
    <t>Unearned revenue</t>
  </si>
  <si>
    <t>Dividends payable</t>
  </si>
  <si>
    <t>Other current liabilities</t>
  </si>
  <si>
    <t>TOTAL CURRENT LIABILITIES</t>
  </si>
  <si>
    <t>NON CURRENT LIABILITIES:</t>
  </si>
  <si>
    <t>Long-term debt, net of current portion</t>
  </si>
  <si>
    <t>Fair value of derivatives, net of current portion</t>
  </si>
  <si>
    <t>Unearned revenue, net of current portion</t>
  </si>
  <si>
    <t>TOTAL NON CURRENT LIABILITIES</t>
  </si>
  <si>
    <t>COMMITMENTS AND CONTINGENCIES</t>
  </si>
  <si>
    <t>STOCKHOLDERS' EQUITY:</t>
  </si>
  <si>
    <t>Common stock</t>
  </si>
  <si>
    <t>Additional paid-in capital</t>
  </si>
  <si>
    <t>Accumulated deficit</t>
  </si>
  <si>
    <t>Accumulated other comprehensive loss</t>
  </si>
  <si>
    <t>TOTAL STOCKHOLDERS' EQUITY/(DEFICIT)</t>
  </si>
  <si>
    <t>TOTAL LIABILITIES AND STOCKHOLDERS' EQUITY</t>
  </si>
  <si>
    <t>CONSOLIDATED STATEMENTS OF INCOME COSTAMARE INC.</t>
  </si>
  <si>
    <t>(Expressed in thousands of U.S. dollars, except share and per share data)</t>
  </si>
  <si>
    <t>%revenue</t>
  </si>
  <si>
    <t>%yearly diff</t>
  </si>
  <si>
    <t>REVENUES:</t>
  </si>
  <si>
    <t>Voyage revenue</t>
  </si>
  <si>
    <t>-</t>
  </si>
  <si>
    <t>EXPENSES:</t>
  </si>
  <si>
    <t>Voyage expenses</t>
  </si>
  <si>
    <t>Voyage expenses-related parties</t>
  </si>
  <si>
    <t>Vessels' operating expenses</t>
  </si>
  <si>
    <t>Charter agreement early termination fee</t>
  </si>
  <si>
    <t>General and administrative expenses</t>
  </si>
  <si>
    <t>General and administrative expenses-related parties</t>
  </si>
  <si>
    <t>Management fees-related parties</t>
  </si>
  <si>
    <t>Amortization of dry-docking and special survey costs</t>
  </si>
  <si>
    <t>Depreciation</t>
  </si>
  <si>
    <t>Gain/(loss) on sale/disposal of vessels, net</t>
  </si>
  <si>
    <t>Foreign exchange gains/(losses)</t>
  </si>
  <si>
    <t>Other income/(expenses)</t>
  </si>
  <si>
    <t>TOTAL EXPENSES</t>
  </si>
  <si>
    <t>OPERATING INCOME</t>
  </si>
  <si>
    <t>OTHER INCOME (EXPENSES):</t>
  </si>
  <si>
    <t>Interest income</t>
  </si>
  <si>
    <t>Interest and finance costs</t>
  </si>
  <si>
    <t>Equity gain on investments</t>
  </si>
  <si>
    <t>Other</t>
  </si>
  <si>
    <t>Gain/(loss) on derivative instruments</t>
  </si>
  <si>
    <t>TOTAL OTHER INCOME (EXPENSES)</t>
  </si>
  <si>
    <t>NET INCOME</t>
  </si>
  <si>
    <t>Earnings per common share, basic and diluted</t>
  </si>
  <si>
    <t>Weighted average number of shares, basic and diluted</t>
  </si>
  <si>
    <t>CONSOLIDATED STATEMENTS OF CASH FLOWS COSTAMARE INC.</t>
  </si>
  <si>
    <t>(Expressed in thousands of U.S. dollars)</t>
  </si>
  <si>
    <t>CASH FLOWS FROM OPERATING ACTIVITIES:</t>
  </si>
  <si>
    <t xml:space="preserve">  NET INCOME:</t>
  </si>
  <si>
    <t xml:space="preserve">  Adjustments to reconcile net income to net cash provided by operating activities:</t>
  </si>
  <si>
    <t xml:space="preserve">    Depreciation</t>
  </si>
  <si>
    <t>EBITDA</t>
  </si>
  <si>
    <t xml:space="preserve">    Amortization and write off of financing costs</t>
  </si>
  <si>
    <t xml:space="preserve">    Amortization of deferred dry-docking and special survey</t>
  </si>
  <si>
    <t xml:space="preserve">    Amortization of unearned revenue</t>
  </si>
  <si>
    <t xml:space="preserve">    Net settlements on interest rate swaps qualifying for cash flow hedge </t>
  </si>
  <si>
    <t xml:space="preserve">    Loss/(gain) on derivative instruments</t>
  </si>
  <si>
    <t xml:space="preserve">    Loss/(gain) on sale/disposal of vessels, net</t>
  </si>
  <si>
    <t xml:space="preserve">    Loss/(gain) on sale of investments</t>
  </si>
  <si>
    <t xml:space="preserve">  Changes in operating assets and liabilities:</t>
  </si>
  <si>
    <t xml:space="preserve">    Receivables</t>
  </si>
  <si>
    <t xml:space="preserve">    Due from related parties</t>
  </si>
  <si>
    <t xml:space="preserve">    Inventories</t>
  </si>
  <si>
    <t xml:space="preserve">    Insurance claims receivable</t>
  </si>
  <si>
    <t xml:space="preserve">    Prepayments and other</t>
  </si>
  <si>
    <t xml:space="preserve">    Accounts payable</t>
  </si>
  <si>
    <t xml:space="preserve">    Due to related parties</t>
  </si>
  <si>
    <t xml:space="preserve">    Accrued liabilities</t>
  </si>
  <si>
    <t xml:space="preserve">    Unearned revenue</t>
  </si>
  <si>
    <t xml:space="preserve">    Other current liabilities </t>
  </si>
  <si>
    <t xml:space="preserve">    Dry-dockings</t>
  </si>
  <si>
    <t xml:space="preserve">    Accrued charter revenue</t>
  </si>
  <si>
    <t xml:space="preserve">        NET CASH PROVIDED BY OPERATING ACTIVITIES</t>
  </si>
  <si>
    <t>CASH FLOWS FROM INVESTING ACTIVITIES:</t>
  </si>
  <si>
    <t xml:space="preserve">  Advances for vessel acquisitions</t>
  </si>
  <si>
    <t xml:space="preserve">  Vessels acquisitions/ Additions to vessel cost</t>
  </si>
  <si>
    <t xml:space="preserve">  Purchase of available for sale securities</t>
  </si>
  <si>
    <t xml:space="preserve">  Proceeds from sale of available for sale securities</t>
  </si>
  <si>
    <t xml:space="preserve">  Proceeds from the sale of vessels, net</t>
  </si>
  <si>
    <t xml:space="preserve">        NET CASH PROVIDED BY (USED IN) INVESTING ACTIVITIES</t>
  </si>
  <si>
    <t>CASH FLOWS FROM FINANCING ACTIVITIES:</t>
  </si>
  <si>
    <t xml:space="preserve">  Proceeds from initial public offering, net of related expenses</t>
  </si>
  <si>
    <t xml:space="preserve">  Initial Public Offering costs</t>
  </si>
  <si>
    <t xml:space="preserve">  Stockholders' contributions</t>
  </si>
  <si>
    <t xml:space="preserve">  Follow-on offering proceeds, net of related expenses</t>
  </si>
  <si>
    <t xml:space="preserve">  Proceeds from long-term debt</t>
  </si>
  <si>
    <t xml:space="preserve">  Repayment of long-term debt</t>
  </si>
  <si>
    <t xml:space="preserve">  Payment of financing costs</t>
  </si>
  <si>
    <t xml:space="preserve">  Dividends paid to stockholders of predecessor companies</t>
  </si>
  <si>
    <t xml:space="preserve">  Dividends paid</t>
  </si>
  <si>
    <t xml:space="preserve">  Debt repaid, net of assets acquired in reorganization</t>
  </si>
  <si>
    <t xml:space="preserve">  Distribution paid to stockholders with reorganization</t>
  </si>
  <si>
    <t xml:space="preserve">  (Increase) decrease in restricted cash</t>
  </si>
  <si>
    <r>
      <t xml:space="preserve">        </t>
    </r>
    <r>
      <rPr>
        <b/>
        <sz val="12"/>
        <color theme="1"/>
        <rFont val="Calibri"/>
        <family val="2"/>
        <charset val="161"/>
        <scheme val="minor"/>
      </rPr>
      <t>NET CASH PROVIDED BY (USED IN) FINANCING ACTIVITIES</t>
    </r>
  </si>
  <si>
    <t>NET INCREASE/ (DECREASE) IN CASH AND CASH EQUIVALENTS</t>
  </si>
  <si>
    <t>CASH AND CASH EQUIVALENTS at beginning of the year</t>
  </si>
  <si>
    <t>CASH AND CASH EQUIVALENTS at end of the year</t>
  </si>
  <si>
    <t>LIQUIDITY RATIOS</t>
  </si>
  <si>
    <t>Net Working Capital =Current Assets-Current Liabilities</t>
  </si>
  <si>
    <t>Net Operating Working Capital</t>
  </si>
  <si>
    <r>
      <t xml:space="preserve">Total Operating Capital </t>
    </r>
    <r>
      <rPr>
        <sz val="11"/>
        <color theme="1"/>
        <rFont val="Calibri"/>
        <family val="2"/>
        <charset val="161"/>
        <scheme val="minor"/>
      </rPr>
      <t>=Net Operating Working Capital+Total Fixed Assets</t>
    </r>
  </si>
  <si>
    <t>Current Ratio (times) =Current Assets/Current Liabilities</t>
  </si>
  <si>
    <t>Quick Ratio (times) =(Current Assets-Inventories)/Current Liabilities</t>
  </si>
  <si>
    <t>Cash Ratio (times) =Cash and cash equivalents/Current Liabilities</t>
  </si>
  <si>
    <t>ACTIVITY RATIOS</t>
  </si>
  <si>
    <t>Receivables Turnover Ratio (times) =Revenues/Receivables</t>
  </si>
  <si>
    <t>Days Sales Outstanding (days) =365/Receivables Turnover Ratio</t>
  </si>
  <si>
    <t>Inventories Turnover Ratio (times) =Revenues/Inventories</t>
  </si>
  <si>
    <t>Inventory Supply Days (days) =365/InventoriesTurnover Ratio</t>
  </si>
  <si>
    <t>Net Working Capital Turnover Ratio (times)</t>
  </si>
  <si>
    <t>*due to negative Net Working Capital</t>
  </si>
  <si>
    <t>Total Assets Turnover Ratio (times) =Revenues/Total Assets</t>
  </si>
  <si>
    <t>Fixed Assets Turnover Ratio (times) =Revenues/Fixed Assets</t>
  </si>
  <si>
    <t xml:space="preserve">Stockholders' Equity Turnover Ratio (times) </t>
  </si>
  <si>
    <t>PROFITABILITY RATIOS</t>
  </si>
  <si>
    <t>Net Profit Margin =Net Income/Revenues</t>
  </si>
  <si>
    <t>Basic Earning Power Ratio =Operating Income/Total Assets</t>
  </si>
  <si>
    <t>Return On Assets =Net Income/Total Assets</t>
  </si>
  <si>
    <t>DuPont formula for ROA</t>
  </si>
  <si>
    <t xml:space="preserve">Return On Equity =Net Income/Stockholders' Equity </t>
  </si>
  <si>
    <t>*due to negative Stockholders' Equity</t>
  </si>
  <si>
    <t>Return On Capital =EBIT*(1-T)/(Long term Debt+Stockholders' Equity)</t>
  </si>
  <si>
    <t>if ROC&gt;WACC, the company is creating value</t>
  </si>
  <si>
    <t>FINANCIAL STRUCTURE RATIOS</t>
  </si>
  <si>
    <t xml:space="preserve">Stockholders' Equity to Total Liabilities </t>
  </si>
  <si>
    <t>Stockholders' Equity to Fixed Assets</t>
  </si>
  <si>
    <t>Current Assets to Total Liabilities</t>
  </si>
  <si>
    <t>Fixed Assets to Long term Liabilities</t>
  </si>
  <si>
    <t>LEVERAGE RATIOS</t>
  </si>
  <si>
    <t>Debt Ratio  =Total Debt/Total Assets</t>
  </si>
  <si>
    <t xml:space="preserve">Debt to Equity Ratio </t>
  </si>
  <si>
    <t>Times Interest Earned =EBIT/Interest Expenses</t>
  </si>
  <si>
    <t>INVESTMENT RATIOS</t>
  </si>
  <si>
    <t>Earnings Per Share</t>
  </si>
  <si>
    <t>Dividend Per Share</t>
  </si>
  <si>
    <t xml:space="preserve">Dividend Yield </t>
  </si>
  <si>
    <t>P/E</t>
  </si>
  <si>
    <t xml:space="preserve">P/BV </t>
  </si>
  <si>
    <t>**All Liabilities are considered as Debt</t>
  </si>
  <si>
    <t>Date</t>
  </si>
  <si>
    <t>CMRE Adj Close</t>
  </si>
  <si>
    <t>NYA Adj Close</t>
  </si>
  <si>
    <r>
      <rPr>
        <b/>
        <sz val="12"/>
        <color theme="1"/>
        <rFont val="Calibri"/>
        <family val="2"/>
        <charset val="161"/>
        <scheme val="minor"/>
      </rPr>
      <t>Daily Returns CMRE</t>
    </r>
    <r>
      <rPr>
        <b/>
        <sz val="11"/>
        <color theme="1"/>
        <rFont val="Calibri"/>
        <family val="2"/>
        <charset val="161"/>
        <scheme val="minor"/>
      </rPr>
      <t xml:space="preserve"> </t>
    </r>
    <r>
      <rPr>
        <b/>
        <sz val="16"/>
        <color theme="1"/>
        <rFont val="Calibri"/>
        <family val="2"/>
        <charset val="161"/>
        <scheme val="minor"/>
      </rPr>
      <t>(r</t>
    </r>
    <r>
      <rPr>
        <b/>
        <sz val="8"/>
        <color theme="1"/>
        <rFont val="Calibri"/>
        <family val="2"/>
        <charset val="161"/>
        <scheme val="minor"/>
      </rPr>
      <t>i</t>
    </r>
    <r>
      <rPr>
        <b/>
        <sz val="16"/>
        <color theme="1"/>
        <rFont val="Calibri"/>
        <family val="2"/>
        <charset val="161"/>
        <scheme val="minor"/>
      </rPr>
      <t>)</t>
    </r>
  </si>
  <si>
    <r>
      <rPr>
        <b/>
        <sz val="12"/>
        <color theme="1"/>
        <rFont val="Calibri"/>
        <family val="2"/>
        <charset val="161"/>
        <scheme val="minor"/>
      </rPr>
      <t>Daily Returns NYA</t>
    </r>
    <r>
      <rPr>
        <b/>
        <sz val="11"/>
        <color theme="1"/>
        <rFont val="Calibri"/>
        <family val="2"/>
        <charset val="161"/>
        <scheme val="minor"/>
      </rPr>
      <t xml:space="preserve"> </t>
    </r>
    <r>
      <rPr>
        <b/>
        <sz val="16"/>
        <color theme="1"/>
        <rFont val="Calibri"/>
        <family val="2"/>
        <charset val="161"/>
        <scheme val="minor"/>
      </rPr>
      <t>(r</t>
    </r>
    <r>
      <rPr>
        <b/>
        <sz val="9"/>
        <color theme="1"/>
        <rFont val="Calibri"/>
        <family val="2"/>
        <charset val="161"/>
        <scheme val="minor"/>
      </rPr>
      <t>M</t>
    </r>
    <r>
      <rPr>
        <b/>
        <sz val="8"/>
        <color theme="1"/>
        <rFont val="Calibri"/>
        <family val="2"/>
        <charset val="161"/>
        <scheme val="minor"/>
      </rPr>
      <t>i</t>
    </r>
    <r>
      <rPr>
        <b/>
        <sz val="16"/>
        <color theme="1"/>
        <rFont val="Calibri"/>
        <family val="2"/>
        <charset val="161"/>
        <scheme val="minor"/>
      </rPr>
      <t>)</t>
    </r>
  </si>
  <si>
    <t>Sep 30, 2013</t>
  </si>
  <si>
    <t>Sep 27, 2013</t>
  </si>
  <si>
    <t>Sep 26, 2013</t>
  </si>
  <si>
    <t>Statistics</t>
  </si>
  <si>
    <r>
      <t>CMRE(r</t>
    </r>
    <r>
      <rPr>
        <b/>
        <sz val="10"/>
        <color theme="1"/>
        <rFont val="Calibri"/>
        <family val="2"/>
        <charset val="161"/>
        <scheme val="minor"/>
      </rPr>
      <t>i</t>
    </r>
    <r>
      <rPr>
        <b/>
        <sz val="14"/>
        <color theme="1"/>
        <rFont val="Calibri"/>
        <family val="2"/>
        <charset val="161"/>
        <scheme val="minor"/>
      </rPr>
      <t>)</t>
    </r>
  </si>
  <si>
    <r>
      <t>NYA(r</t>
    </r>
    <r>
      <rPr>
        <b/>
        <sz val="8"/>
        <color theme="1"/>
        <rFont val="Calibri"/>
        <family val="2"/>
        <charset val="161"/>
        <scheme val="minor"/>
      </rPr>
      <t>Mi</t>
    </r>
    <r>
      <rPr>
        <b/>
        <sz val="14"/>
        <color theme="1"/>
        <rFont val="Calibri"/>
        <family val="2"/>
        <charset val="161"/>
        <scheme val="minor"/>
      </rPr>
      <t>)</t>
    </r>
  </si>
  <si>
    <t>Sep 25, 2013</t>
  </si>
  <si>
    <t>Average</t>
  </si>
  <si>
    <t>Sep 24, 2013</t>
  </si>
  <si>
    <t>Variance</t>
  </si>
  <si>
    <t>Sep 23, 2013</t>
  </si>
  <si>
    <t>St.Deviation</t>
  </si>
  <si>
    <t>Sep 20, 2013</t>
  </si>
  <si>
    <t>Covariance</t>
  </si>
  <si>
    <t>Sep 19, 2013</t>
  </si>
  <si>
    <t>Correlation Coefficient</t>
  </si>
  <si>
    <t>Sep 18, 2013</t>
  </si>
  <si>
    <t>Beta Coefficient</t>
  </si>
  <si>
    <t>Sep 17, 2013</t>
  </si>
  <si>
    <t>Sep 16, 2013</t>
  </si>
  <si>
    <t>Sep 13, 2013</t>
  </si>
  <si>
    <t>Sep 12, 2013</t>
  </si>
  <si>
    <t>Sep 11, 2013</t>
  </si>
  <si>
    <t>AVERAGE STOCK PRICE</t>
  </si>
  <si>
    <t>Sep 10, 2013</t>
  </si>
  <si>
    <t>Sep 9, 2013</t>
  </si>
  <si>
    <t>Sep 6, 2013</t>
  </si>
  <si>
    <t>Sep 5, 2013</t>
  </si>
  <si>
    <t>Sep 4, 2013</t>
  </si>
  <si>
    <t>Sep 3, 2013</t>
  </si>
  <si>
    <t>Aug 30, 2013</t>
  </si>
  <si>
    <t>Aug 29, 2013</t>
  </si>
  <si>
    <t>Aug 28, 2013</t>
  </si>
  <si>
    <t>Aug 27, 2013</t>
  </si>
  <si>
    <t>Aug 26, 2013</t>
  </si>
  <si>
    <t>Aug 23, 2013</t>
  </si>
  <si>
    <t>Aug 22, 2013</t>
  </si>
  <si>
    <t>Aug 21, 2013</t>
  </si>
  <si>
    <t>Aug 20, 2013</t>
  </si>
  <si>
    <t>Aug 19, 2013</t>
  </si>
  <si>
    <t>Aug 16, 2013</t>
  </si>
  <si>
    <t>Aug 15, 2013</t>
  </si>
  <si>
    <t>Aug 14, 2013</t>
  </si>
  <si>
    <t>Aug 13, 2013</t>
  </si>
  <si>
    <t>Aug 12, 2013</t>
  </si>
  <si>
    <t>Aug 9, 2013</t>
  </si>
  <si>
    <t>Aug 8, 2013</t>
  </si>
  <si>
    <t>Aug 7, 2013</t>
  </si>
  <si>
    <t>Aug 6, 2013</t>
  </si>
  <si>
    <t>Aug 5, 2013</t>
  </si>
  <si>
    <t>Aug 2, 2013</t>
  </si>
  <si>
    <t>Aug 1, 2013</t>
  </si>
  <si>
    <t>Jul 31, 2013</t>
  </si>
  <si>
    <t>Jul 30, 2013</t>
  </si>
  <si>
    <t>Jul 29, 2013</t>
  </si>
  <si>
    <t>Jul 26, 2013</t>
  </si>
  <si>
    <t>Jul 25, 2013</t>
  </si>
  <si>
    <t>Jul 24, 2013</t>
  </si>
  <si>
    <t>Jul 23, 2013</t>
  </si>
  <si>
    <t>Jul 22, 2013</t>
  </si>
  <si>
    <t>Jul 19, 2013</t>
  </si>
  <si>
    <t>Jul 18, 2013</t>
  </si>
  <si>
    <t>Jul 17, 2013</t>
  </si>
  <si>
    <t>Jul 16, 2013</t>
  </si>
  <si>
    <t>Jul 15, 2013</t>
  </si>
  <si>
    <t>Jul 12, 2013</t>
  </si>
  <si>
    <t>Jul 11, 2013</t>
  </si>
  <si>
    <t>Jul 10, 2013</t>
  </si>
  <si>
    <t>Jul 9, 2013</t>
  </si>
  <si>
    <t>Jul 8, 2013</t>
  </si>
  <si>
    <t>Jul 5, 2013</t>
  </si>
  <si>
    <t>Jul 3, 2013</t>
  </si>
  <si>
    <t>Jul 2, 2013</t>
  </si>
  <si>
    <t>Jul 1, 2013</t>
  </si>
  <si>
    <t>Jun 28, 2013</t>
  </si>
  <si>
    <t>Jun 27, 2013</t>
  </si>
  <si>
    <t>Jun 26, 2013</t>
  </si>
  <si>
    <t>Jun 25, 2013</t>
  </si>
  <si>
    <t>Jun 24, 2013</t>
  </si>
  <si>
    <t>Jun 21, 2013</t>
  </si>
  <si>
    <t>Jun 20, 2013</t>
  </si>
  <si>
    <t>Jun 19, 2013</t>
  </si>
  <si>
    <t>Jun 18, 2013</t>
  </si>
  <si>
    <t>Jun 17, 2013</t>
  </si>
  <si>
    <t>Jun 14, 2013</t>
  </si>
  <si>
    <t>Jun 13, 2013</t>
  </si>
  <si>
    <t>Jun 12, 2013</t>
  </si>
  <si>
    <t>Jun 11, 2013</t>
  </si>
  <si>
    <t>Jun 10, 2013</t>
  </si>
  <si>
    <t>Jun 7, 2013</t>
  </si>
  <si>
    <t>Jun 6, 2013</t>
  </si>
  <si>
    <t>Jun 5, 2013</t>
  </si>
  <si>
    <t>Jun 4, 2013</t>
  </si>
  <si>
    <t>Jun 3, 2013</t>
  </si>
  <si>
    <t>May 31, 2013</t>
  </si>
  <si>
    <t>May 30, 2013</t>
  </si>
  <si>
    <t>May 29, 2013</t>
  </si>
  <si>
    <t>May 28, 2013</t>
  </si>
  <si>
    <t>May 24, 2013</t>
  </si>
  <si>
    <t>May 23, 2013</t>
  </si>
  <si>
    <t>May 22, 2013</t>
  </si>
  <si>
    <t>May 21, 2013</t>
  </si>
  <si>
    <t>May 20, 2013</t>
  </si>
  <si>
    <t>May 17, 2013</t>
  </si>
  <si>
    <t>May 16, 2013</t>
  </si>
  <si>
    <t>May 15, 2013</t>
  </si>
  <si>
    <t>May 14, 2013</t>
  </si>
  <si>
    <t>May 13, 2013</t>
  </si>
  <si>
    <t>May 10, 2013</t>
  </si>
  <si>
    <t>May 9, 2013</t>
  </si>
  <si>
    <t>May 8, 2013</t>
  </si>
  <si>
    <t>May 7, 2013</t>
  </si>
  <si>
    <t>May 6, 2013</t>
  </si>
  <si>
    <t>May 3, 2013</t>
  </si>
  <si>
    <t>May 2, 2013</t>
  </si>
  <si>
    <t>May 1, 2013</t>
  </si>
  <si>
    <t>Apr 30, 2013</t>
  </si>
  <si>
    <t>Apr 29, 2013</t>
  </si>
  <si>
    <t>Apr 26, 2013</t>
  </si>
  <si>
    <t>Apr 25, 2013</t>
  </si>
  <si>
    <t>Apr 24, 2013</t>
  </si>
  <si>
    <t>Apr 23, 2013</t>
  </si>
  <si>
    <t>Apr 22, 2013</t>
  </si>
  <si>
    <t>Apr 19, 2013</t>
  </si>
  <si>
    <t>Apr 18, 2013</t>
  </si>
  <si>
    <t>Apr 17, 2013</t>
  </si>
  <si>
    <t>Apr 16, 2013</t>
  </si>
  <si>
    <t>Apr 15, 2013</t>
  </si>
  <si>
    <t>Apr 12, 2013</t>
  </si>
  <si>
    <t>Apr 11, 2013</t>
  </si>
  <si>
    <t>Apr 10, 2013</t>
  </si>
  <si>
    <t>Apr 9, 2013</t>
  </si>
  <si>
    <t>Apr 8, 2013</t>
  </si>
  <si>
    <t>Apr 5, 2013</t>
  </si>
  <si>
    <t>Apr 4, 2013</t>
  </si>
  <si>
    <t>Apr 3, 2013</t>
  </si>
  <si>
    <t>Apr 2, 2013</t>
  </si>
  <si>
    <t>Apr 1, 2013</t>
  </si>
  <si>
    <t>Mar 28, 2013</t>
  </si>
  <si>
    <t>Mar 27, 2013</t>
  </si>
  <si>
    <t>Mar 26, 2013</t>
  </si>
  <si>
    <t>Mar 25, 2013</t>
  </si>
  <si>
    <t>Mar 22, 2013</t>
  </si>
  <si>
    <t>Mar 21, 2013</t>
  </si>
  <si>
    <t>Mar 20, 2013</t>
  </si>
  <si>
    <t>Mar 19, 2013</t>
  </si>
  <si>
    <t>Mar 18, 2013</t>
  </si>
  <si>
    <t>Mar 15, 2013</t>
  </si>
  <si>
    <t>Mar 14, 2013</t>
  </si>
  <si>
    <t>Mar 13, 2013</t>
  </si>
  <si>
    <t>Mar 12, 2013</t>
  </si>
  <si>
    <t>Mar 11, 2013</t>
  </si>
  <si>
    <t>Mar 8, 2013</t>
  </si>
  <si>
    <t>Mar 7, 2013</t>
  </si>
  <si>
    <t>Mar 6, 2013</t>
  </si>
  <si>
    <t>Mar 5, 2013</t>
  </si>
  <si>
    <t>Mar 4, 2013</t>
  </si>
  <si>
    <t>Mar 1, 2013</t>
  </si>
  <si>
    <t>Feb 28, 2013</t>
  </si>
  <si>
    <t>Feb 27, 2013</t>
  </si>
  <si>
    <t>Feb 26, 2013</t>
  </si>
  <si>
    <t>Feb 25, 2013</t>
  </si>
  <si>
    <t>Feb 22, 2013</t>
  </si>
  <si>
    <t>Feb 21, 2013</t>
  </si>
  <si>
    <t>Feb 20, 2013</t>
  </si>
  <si>
    <t>Feb 19, 2013</t>
  </si>
  <si>
    <t>Feb 15, 2013</t>
  </si>
  <si>
    <t>Feb 14, 2013</t>
  </si>
  <si>
    <t>Feb 13, 2013</t>
  </si>
  <si>
    <t>Feb 12, 2013</t>
  </si>
  <si>
    <t>Feb 11, 2013</t>
  </si>
  <si>
    <t>Feb 8, 2013</t>
  </si>
  <si>
    <t>Feb 7, 2013</t>
  </si>
  <si>
    <t>Feb 6, 2013</t>
  </si>
  <si>
    <t>Feb 5, 2013</t>
  </si>
  <si>
    <t>Feb 4, 2013</t>
  </si>
  <si>
    <t>Feb 1, 2013</t>
  </si>
  <si>
    <t>Jan 31, 2013</t>
  </si>
  <si>
    <t>Jan 30, 2013</t>
  </si>
  <si>
    <t>Jan 29, 2013</t>
  </si>
  <si>
    <t>Jan 28, 2013</t>
  </si>
  <si>
    <t>Jan 25, 2013</t>
  </si>
  <si>
    <t>Jan 24, 2013</t>
  </si>
  <si>
    <t>Jan 23, 2013</t>
  </si>
  <si>
    <t>Jan 22, 2013</t>
  </si>
  <si>
    <t>Jan 18, 2013</t>
  </si>
  <si>
    <t>Jan 17, 2013</t>
  </si>
  <si>
    <t>Jan 16, 2013</t>
  </si>
  <si>
    <t>Jan 15, 2013</t>
  </si>
  <si>
    <t>Jan 14, 2013</t>
  </si>
  <si>
    <t>Jan 11, 2013</t>
  </si>
  <si>
    <t>Jan 10, 2013</t>
  </si>
  <si>
    <t>Jan 9, 2013</t>
  </si>
  <si>
    <t>Jan 8, 2013</t>
  </si>
  <si>
    <t>Jan 7, 2013</t>
  </si>
  <si>
    <t>Jan 4, 2013</t>
  </si>
  <si>
    <t>Jan 3, 2013</t>
  </si>
  <si>
    <t>Jan 2, 2013</t>
  </si>
  <si>
    <t>Dec 31, 2012</t>
  </si>
  <si>
    <t>Dec 28, 2012</t>
  </si>
  <si>
    <t>Dec 27, 2012</t>
  </si>
  <si>
    <t>Dec 26, 2012</t>
  </si>
  <si>
    <t>Dec 24, 2012</t>
  </si>
  <si>
    <t>Dec 21, 2012</t>
  </si>
  <si>
    <t>Dec 20, 2012</t>
  </si>
  <si>
    <t>Dec 19, 2012</t>
  </si>
  <si>
    <t>Dec 18, 2012</t>
  </si>
  <si>
    <t>Dec 17, 2012</t>
  </si>
  <si>
    <t>Dec 14, 2012</t>
  </si>
  <si>
    <t>Dec 13, 2012</t>
  </si>
  <si>
    <t>Dec 12, 2012</t>
  </si>
  <si>
    <t>Dec 11, 2012</t>
  </si>
  <si>
    <t>Dec 10, 2012</t>
  </si>
  <si>
    <t>Dec 7, 2012</t>
  </si>
  <si>
    <t>Dec 6, 2012</t>
  </si>
  <si>
    <t>Dec 5, 2012</t>
  </si>
  <si>
    <t>Dec 4, 2012</t>
  </si>
  <si>
    <t>Dec 3, 2012</t>
  </si>
  <si>
    <t>Nov 30, 2012</t>
  </si>
  <si>
    <t>Nov 29, 2012</t>
  </si>
  <si>
    <t>Nov 28, 2012</t>
  </si>
  <si>
    <t>Nov 27, 2012</t>
  </si>
  <si>
    <t>Nov 26, 2012</t>
  </si>
  <si>
    <t>Nov 23, 2012</t>
  </si>
  <si>
    <t>Nov 21, 2012</t>
  </si>
  <si>
    <t>Nov 20, 2012</t>
  </si>
  <si>
    <t>Nov 19, 2012</t>
  </si>
  <si>
    <t>Nov 16, 2012</t>
  </si>
  <si>
    <t>Nov 15, 2012</t>
  </si>
  <si>
    <t>Nov 14, 2012</t>
  </si>
  <si>
    <t>Nov 13, 2012</t>
  </si>
  <si>
    <t>Nov 12, 2012</t>
  </si>
  <si>
    <t>Nov 9, 2012</t>
  </si>
  <si>
    <t>Nov 8, 2012</t>
  </si>
  <si>
    <t>Nov 7, 2012</t>
  </si>
  <si>
    <t>Nov 6, 2012</t>
  </si>
  <si>
    <t>Nov 5, 2012</t>
  </si>
  <si>
    <t>Nov 2, 2012</t>
  </si>
  <si>
    <t>Nov 1, 2012</t>
  </si>
  <si>
    <t>Oct 31, 2012</t>
  </si>
  <si>
    <t>Oct 26, 2012</t>
  </si>
  <si>
    <t>Oct 25, 2012</t>
  </si>
  <si>
    <t>Oct 24, 2012</t>
  </si>
  <si>
    <t>Oct 23, 2012</t>
  </si>
  <si>
    <t>Oct 22, 2012</t>
  </si>
  <si>
    <t>Oct 19, 2012</t>
  </si>
  <si>
    <t>Oct 18, 2012</t>
  </si>
  <si>
    <t>Oct 17, 2012</t>
  </si>
  <si>
    <t>Oct 16, 2012</t>
  </si>
  <si>
    <t>Oct 15, 2012</t>
  </si>
  <si>
    <t>Oct 12, 2012</t>
  </si>
  <si>
    <t>Oct 11, 2012</t>
  </si>
  <si>
    <t>Oct 10, 2012</t>
  </si>
  <si>
    <t>Oct 9, 2012</t>
  </si>
  <si>
    <t>Oct 8, 2012</t>
  </si>
  <si>
    <t>Oct 5, 2012</t>
  </si>
  <si>
    <t>Oct 4, 2012</t>
  </si>
  <si>
    <t>Oct 3, 2012</t>
  </si>
  <si>
    <t>Oct 2, 2012</t>
  </si>
  <si>
    <t>Oct 1, 2012</t>
  </si>
  <si>
    <t>Sep 28, 2012</t>
  </si>
  <si>
    <t>Sep 27, 2012</t>
  </si>
  <si>
    <t>Sep 26, 2012</t>
  </si>
  <si>
    <t>Sep 25, 2012</t>
  </si>
  <si>
    <t>Sep 24, 2012</t>
  </si>
  <si>
    <t>Sep 21, 2012</t>
  </si>
  <si>
    <t>Sep 20, 2012</t>
  </si>
  <si>
    <t>Sep 19, 2012</t>
  </si>
  <si>
    <t>Sep 18, 2012</t>
  </si>
  <si>
    <t>Sep 17, 2012</t>
  </si>
  <si>
    <t>Sep 14, 2012</t>
  </si>
  <si>
    <t>Sep 13, 2012</t>
  </si>
  <si>
    <t>Sep 12, 2012</t>
  </si>
  <si>
    <t>Sep 11, 2012</t>
  </si>
  <si>
    <t>Sep 10, 2012</t>
  </si>
  <si>
    <t>Sep 7, 2012</t>
  </si>
  <si>
    <t>Sep 6, 2012</t>
  </si>
  <si>
    <t>Sep 5, 2012</t>
  </si>
  <si>
    <t>Sep 4, 2012</t>
  </si>
  <si>
    <t>Aug 31, 2012</t>
  </si>
  <si>
    <t>Aug 30, 2012</t>
  </si>
  <si>
    <t>Aug 29, 2012</t>
  </si>
  <si>
    <t>Aug 28, 2012</t>
  </si>
  <si>
    <t>Aug 27, 2012</t>
  </si>
  <si>
    <t>Aug 24, 2012</t>
  </si>
  <si>
    <t>Aug 23, 2012</t>
  </si>
  <si>
    <t>Aug 22, 2012</t>
  </si>
  <si>
    <t>Aug 21, 2012</t>
  </si>
  <si>
    <t>Aug 20, 2012</t>
  </si>
  <si>
    <t>Aug 17, 2012</t>
  </si>
  <si>
    <t>Aug 16, 2012</t>
  </si>
  <si>
    <t>Aug 15, 2012</t>
  </si>
  <si>
    <t>Aug 14, 2012</t>
  </si>
  <si>
    <t>Aug 13, 2012</t>
  </si>
  <si>
    <t>Aug 10, 2012</t>
  </si>
  <si>
    <t>Aug 9, 2012</t>
  </si>
  <si>
    <t>Aug 8, 2012</t>
  </si>
  <si>
    <t>Aug 7, 2012</t>
  </si>
  <si>
    <t>Aug 6, 2012</t>
  </si>
  <si>
    <t>Aug 3, 2012</t>
  </si>
  <si>
    <t>Aug 2, 2012</t>
  </si>
  <si>
    <t>Aug 1, 2012</t>
  </si>
  <si>
    <t>Jul 31, 2012</t>
  </si>
  <si>
    <t>Jul 30, 2012</t>
  </si>
  <si>
    <t>Jul 27, 2012</t>
  </si>
  <si>
    <t>Jul 26, 2012</t>
  </si>
  <si>
    <t>Jul 25, 2012</t>
  </si>
  <si>
    <t>Jul 24, 2012</t>
  </si>
  <si>
    <t>Jul 23, 2012</t>
  </si>
  <si>
    <t>Jul 20, 2012</t>
  </si>
  <si>
    <t>Jul 19, 2012</t>
  </si>
  <si>
    <t>Jul 18, 2012</t>
  </si>
  <si>
    <t>Jul 17, 2012</t>
  </si>
  <si>
    <t>Jul 16, 2012</t>
  </si>
  <si>
    <t>Jul 13, 2012</t>
  </si>
  <si>
    <t>Jul 12, 2012</t>
  </si>
  <si>
    <t>Jul 11, 2012</t>
  </si>
  <si>
    <t>Jul 10, 2012</t>
  </si>
  <si>
    <t>Jul 9, 2012</t>
  </si>
  <si>
    <t>Jul 6, 2012</t>
  </si>
  <si>
    <t>Jul 5, 2012</t>
  </si>
  <si>
    <t>Jul 3, 2012</t>
  </si>
  <si>
    <t>Jul 2, 2012</t>
  </si>
  <si>
    <t>Jun 29, 2012</t>
  </si>
  <si>
    <t>Jun 28, 2012</t>
  </si>
  <si>
    <t>Jun 27, 2012</t>
  </si>
  <si>
    <t>Jun 26, 2012</t>
  </si>
  <si>
    <t>Jun 25, 2012</t>
  </si>
  <si>
    <t>Jun 22, 2012</t>
  </si>
  <si>
    <t>Jun 21, 2012</t>
  </si>
  <si>
    <t>Jun 20, 2012</t>
  </si>
  <si>
    <t>Jun 19, 2012</t>
  </si>
  <si>
    <t>Jun 18, 2012</t>
  </si>
  <si>
    <t>Jun 15, 2012</t>
  </si>
  <si>
    <t>Jun 14, 2012</t>
  </si>
  <si>
    <t>Jun 13, 2012</t>
  </si>
  <si>
    <t>Jun 12, 2012</t>
  </si>
  <si>
    <t>Jun 11, 2012</t>
  </si>
  <si>
    <t>Jun 8, 2012</t>
  </si>
  <si>
    <t>Jun 7, 2012</t>
  </si>
  <si>
    <t>Jun 6, 2012</t>
  </si>
  <si>
    <t>Jun 5, 2012</t>
  </si>
  <si>
    <t>Jun 4, 2012</t>
  </si>
  <si>
    <t>Jun 1, 2012</t>
  </si>
  <si>
    <t>May 31, 2012</t>
  </si>
  <si>
    <t>May 30, 2012</t>
  </si>
  <si>
    <t>May 29, 2012</t>
  </si>
  <si>
    <t>May 25, 2012</t>
  </si>
  <si>
    <t>May 24, 2012</t>
  </si>
  <si>
    <t>May 23, 2012</t>
  </si>
  <si>
    <t>May 22, 2012</t>
  </si>
  <si>
    <t>May 21, 2012</t>
  </si>
  <si>
    <t>May 18, 2012</t>
  </si>
  <si>
    <t>May 17, 2012</t>
  </si>
  <si>
    <t>May 16, 2012</t>
  </si>
  <si>
    <t>May 15, 2012</t>
  </si>
  <si>
    <t>May 14, 2012</t>
  </si>
  <si>
    <t>May 11, 2012</t>
  </si>
  <si>
    <t>May 10, 2012</t>
  </si>
  <si>
    <t>May 9, 2012</t>
  </si>
  <si>
    <t>May 8, 2012</t>
  </si>
  <si>
    <t>May 7, 2012</t>
  </si>
  <si>
    <t>May 4, 2012</t>
  </si>
  <si>
    <t>May 3, 2012</t>
  </si>
  <si>
    <t>May 2, 2012</t>
  </si>
  <si>
    <t>May 1, 2012</t>
  </si>
  <si>
    <t>Apr 30, 2012</t>
  </si>
  <si>
    <t>Apr 27, 2012</t>
  </si>
  <si>
    <t>Apr 26, 2012</t>
  </si>
  <si>
    <t>Apr 25, 2012</t>
  </si>
  <si>
    <t>Apr 24, 2012</t>
  </si>
  <si>
    <t>Apr 23, 2012</t>
  </si>
  <si>
    <t>Apr 20, 2012</t>
  </si>
  <si>
    <t>Apr 19, 2012</t>
  </si>
  <si>
    <t>Apr 18, 2012</t>
  </si>
  <si>
    <t>Apr 17, 2012</t>
  </si>
  <si>
    <t>Apr 16, 2012</t>
  </si>
  <si>
    <t>Apr 13, 2012</t>
  </si>
  <si>
    <t>Apr 12, 2012</t>
  </si>
  <si>
    <t>Apr 11, 2012</t>
  </si>
  <si>
    <t>Apr 10, 2012</t>
  </si>
  <si>
    <t>Apr 9, 2012</t>
  </si>
  <si>
    <t>Apr 5, 2012</t>
  </si>
  <si>
    <t>Apr 4, 2012</t>
  </si>
  <si>
    <t>Apr 3, 2012</t>
  </si>
  <si>
    <t>Apr 2, 2012</t>
  </si>
  <si>
    <t>Mar 30, 2012</t>
  </si>
  <si>
    <t>Mar 29, 2012</t>
  </si>
  <si>
    <t>Mar 28, 2012</t>
  </si>
  <si>
    <t>Mar 27, 2012</t>
  </si>
  <si>
    <t>Mar 26, 2012</t>
  </si>
  <si>
    <t>Mar 23, 2012</t>
  </si>
  <si>
    <t>Mar 22, 2012</t>
  </si>
  <si>
    <t>Mar 21, 2012</t>
  </si>
  <si>
    <t>Mar 20, 2012</t>
  </si>
  <si>
    <t>Mar 19, 2012</t>
  </si>
  <si>
    <t>Mar 16, 2012</t>
  </si>
  <si>
    <t>Mar 15, 2012</t>
  </si>
  <si>
    <t>Mar 14, 2012</t>
  </si>
  <si>
    <t>Mar 13, 2012</t>
  </si>
  <si>
    <t>Mar 12, 2012</t>
  </si>
  <si>
    <t>Mar 9, 2012</t>
  </si>
  <si>
    <t>Mar 8, 2012</t>
  </si>
  <si>
    <t>Mar 7, 2012</t>
  </si>
  <si>
    <t>Mar 6, 2012</t>
  </si>
  <si>
    <t>Mar 5, 2012</t>
  </si>
  <si>
    <t>Mar 2, 2012</t>
  </si>
  <si>
    <t>Mar 1, 2012</t>
  </si>
  <si>
    <t>Feb 29, 2012</t>
  </si>
  <si>
    <t>Feb 28, 2012</t>
  </si>
  <si>
    <t>Feb 27, 2012</t>
  </si>
  <si>
    <t>Feb 24, 2012</t>
  </si>
  <si>
    <t>Feb 23, 2012</t>
  </si>
  <si>
    <t>Feb 22, 2012</t>
  </si>
  <si>
    <t>Feb 21, 2012</t>
  </si>
  <si>
    <t>Feb 17, 2012</t>
  </si>
  <si>
    <t>Feb 16, 2012</t>
  </si>
  <si>
    <t>Feb 15, 2012</t>
  </si>
  <si>
    <t>Feb 14, 2012</t>
  </si>
  <si>
    <t>Feb 13, 2012</t>
  </si>
  <si>
    <t>Feb 10, 2012</t>
  </si>
  <si>
    <t>Feb 9, 2012</t>
  </si>
  <si>
    <t>Feb 8, 2012</t>
  </si>
  <si>
    <t>Feb 7, 2012</t>
  </si>
  <si>
    <t>Feb 6, 2012</t>
  </si>
  <si>
    <t>Feb 3, 2012</t>
  </si>
  <si>
    <t>Feb 2, 2012</t>
  </si>
  <si>
    <t>Feb 1, 2012</t>
  </si>
  <si>
    <t>Jan 31, 2012</t>
  </si>
  <si>
    <t>Jan 30, 2012</t>
  </si>
  <si>
    <t>Jan 27, 2012</t>
  </si>
  <si>
    <t>Jan 26, 2012</t>
  </si>
  <si>
    <t>Jan 25, 2012</t>
  </si>
  <si>
    <t>Jan 24, 2012</t>
  </si>
  <si>
    <t>Jan 23, 2012</t>
  </si>
  <si>
    <t>Jan 20, 2012</t>
  </si>
  <si>
    <t>Jan 19, 2012</t>
  </si>
  <si>
    <t>Jan 18, 2012</t>
  </si>
  <si>
    <t>Jan 17, 2012</t>
  </si>
  <si>
    <t>Jan 13, 2012</t>
  </si>
  <si>
    <t>Jan 12, 2012</t>
  </si>
  <si>
    <t>Jan 11, 2012</t>
  </si>
  <si>
    <t>Jan 10, 2012</t>
  </si>
  <si>
    <t>Jan 9, 2012</t>
  </si>
  <si>
    <t>Jan 6, 2012</t>
  </si>
  <si>
    <t>Jan 5, 2012</t>
  </si>
  <si>
    <t>Jan 4, 2012</t>
  </si>
  <si>
    <t>Jan 3, 2012</t>
  </si>
  <si>
    <t>Dec 30, 2011</t>
  </si>
  <si>
    <t>Dec 29, 2011</t>
  </si>
  <si>
    <t>Dec 28, 2011</t>
  </si>
  <si>
    <t>Dec 27, 2011</t>
  </si>
  <si>
    <t>Dec 23, 2011</t>
  </si>
  <si>
    <t>Dec 22, 2011</t>
  </si>
  <si>
    <t>Dec 21, 2011</t>
  </si>
  <si>
    <t>Dec 20, 2011</t>
  </si>
  <si>
    <t>Dec 19, 2011</t>
  </si>
  <si>
    <t>Dec 16, 2011</t>
  </si>
  <si>
    <t>Dec 15, 2011</t>
  </si>
  <si>
    <t>Dec 14, 2011</t>
  </si>
  <si>
    <t>Dec 13, 2011</t>
  </si>
  <si>
    <t>Dec 12, 2011</t>
  </si>
  <si>
    <t>Dec 9, 2011</t>
  </si>
  <si>
    <t>Dec 8, 2011</t>
  </si>
  <si>
    <t>Dec 7, 2011</t>
  </si>
  <si>
    <t>Dec 6, 2011</t>
  </si>
  <si>
    <t>Dec 5, 2011</t>
  </si>
  <si>
    <t>Dec 2, 2011</t>
  </si>
  <si>
    <t>Dec 1, 2011</t>
  </si>
  <si>
    <t>Nov 30, 2011</t>
  </si>
  <si>
    <t>Nov 29, 2011</t>
  </si>
  <si>
    <t>Nov 28, 2011</t>
  </si>
  <si>
    <t>Nov 25, 2011</t>
  </si>
  <si>
    <t>Nov 23, 2011</t>
  </si>
  <si>
    <t>Nov 22, 2011</t>
  </si>
  <si>
    <t>Nov 21, 2011</t>
  </si>
  <si>
    <t>Nov 18, 2011</t>
  </si>
  <si>
    <t>Nov 17, 2011</t>
  </si>
  <si>
    <t>Nov 16, 2011</t>
  </si>
  <si>
    <t>Nov 15, 2011</t>
  </si>
  <si>
    <t>Nov 14, 2011</t>
  </si>
  <si>
    <t>Nov 11, 2011</t>
  </si>
  <si>
    <t>Nov 10, 2011</t>
  </si>
  <si>
    <t>Nov 9, 2011</t>
  </si>
  <si>
    <t>Nov 8, 2011</t>
  </si>
  <si>
    <t>Nov 7, 2011</t>
  </si>
  <si>
    <t>Nov 4, 2011</t>
  </si>
  <si>
    <t>Nov 3, 2011</t>
  </si>
  <si>
    <t>Nov 2, 2011</t>
  </si>
  <si>
    <t>Nov 1, 2011</t>
  </si>
  <si>
    <t>Oct 31, 2011</t>
  </si>
  <si>
    <t>Oct 28, 2011</t>
  </si>
  <si>
    <t>Oct 27, 2011</t>
  </si>
  <si>
    <t>Oct 26, 2011</t>
  </si>
  <si>
    <t>Oct 25, 2011</t>
  </si>
  <si>
    <t>Oct 24, 2011</t>
  </si>
  <si>
    <t>Oct 21, 2011</t>
  </si>
  <si>
    <t>Oct 20, 2011</t>
  </si>
  <si>
    <t>Oct 19, 2011</t>
  </si>
  <si>
    <t>Oct 18, 2011</t>
  </si>
  <si>
    <t>Oct 17, 2011</t>
  </si>
  <si>
    <t>Oct 14, 2011</t>
  </si>
  <si>
    <t>Oct 13, 2011</t>
  </si>
  <si>
    <t>Oct 12, 2011</t>
  </si>
  <si>
    <t>Oct 11, 2011</t>
  </si>
  <si>
    <t>Oct 10, 2011</t>
  </si>
  <si>
    <t>Oct 7, 2011</t>
  </si>
  <si>
    <t>Oct 6, 2011</t>
  </si>
  <si>
    <t>Oct 5, 2011</t>
  </si>
  <si>
    <t>Oct 4, 2011</t>
  </si>
  <si>
    <t>Oct 3, 2011</t>
  </si>
  <si>
    <t>Sep 30, 2011</t>
  </si>
  <si>
    <t>Sep 29, 2011</t>
  </si>
  <si>
    <t>Sep 28, 2011</t>
  </si>
  <si>
    <t>Sep 27, 2011</t>
  </si>
  <si>
    <t>Sep 26, 2011</t>
  </si>
  <si>
    <t>Sep 23, 2011</t>
  </si>
  <si>
    <t>Sep 22, 2011</t>
  </si>
  <si>
    <t>Sep 21, 2011</t>
  </si>
  <si>
    <t>Sep 20, 2011</t>
  </si>
  <si>
    <t>Sep 19, 2011</t>
  </si>
  <si>
    <t>Sep 16, 2011</t>
  </si>
  <si>
    <t>Sep 15, 2011</t>
  </si>
  <si>
    <t>Sep 14, 2011</t>
  </si>
  <si>
    <t>Sep 13, 2011</t>
  </si>
  <si>
    <t>Sep 12, 2011</t>
  </si>
  <si>
    <t>Sep 9, 2011</t>
  </si>
  <si>
    <t>Sep 8, 2011</t>
  </si>
  <si>
    <t>Sep 7, 2011</t>
  </si>
  <si>
    <t>Sep 6, 2011</t>
  </si>
  <si>
    <t>Sep 2, 2011</t>
  </si>
  <si>
    <t>Sep 1, 2011</t>
  </si>
  <si>
    <t>Aug 31, 2011</t>
  </si>
  <si>
    <t>Aug 30, 2011</t>
  </si>
  <si>
    <t>Aug 29, 2011</t>
  </si>
  <si>
    <t>Aug 26, 2011</t>
  </si>
  <si>
    <t>Aug 25, 2011</t>
  </si>
  <si>
    <t>Aug 24, 2011</t>
  </si>
  <si>
    <t>Aug 23, 2011</t>
  </si>
  <si>
    <t>Aug 22, 2011</t>
  </si>
  <si>
    <t>Aug 19, 2011</t>
  </si>
  <si>
    <t>Aug 18, 2011</t>
  </si>
  <si>
    <t>Aug 17, 2011</t>
  </si>
  <si>
    <t>Aug 16, 2011</t>
  </si>
  <si>
    <t>Aug 15, 2011</t>
  </si>
  <si>
    <t>Aug 12, 2011</t>
  </si>
  <si>
    <t>Aug 11, 2011</t>
  </si>
  <si>
    <t>Aug 10, 2011</t>
  </si>
  <si>
    <t>Aug 9, 2011</t>
  </si>
  <si>
    <t>Aug 8, 2011</t>
  </si>
  <si>
    <t>Aug 5, 2011</t>
  </si>
  <si>
    <t>Aug 4, 2011</t>
  </si>
  <si>
    <t>Aug 3, 2011</t>
  </si>
  <si>
    <t>Aug 2, 2011</t>
  </si>
  <si>
    <t>Aug 1, 2011</t>
  </si>
  <si>
    <t>Jul 29, 2011</t>
  </si>
  <si>
    <t>Jul 28, 2011</t>
  </si>
  <si>
    <t>Jul 27, 2011</t>
  </si>
  <si>
    <t>Jul 26, 2011</t>
  </si>
  <si>
    <t>Jul 25, 2011</t>
  </si>
  <si>
    <t>Jul 22, 2011</t>
  </si>
  <si>
    <t>Jul 21, 2011</t>
  </si>
  <si>
    <t>Jul 20, 2011</t>
  </si>
  <si>
    <t>Jul 19, 2011</t>
  </si>
  <si>
    <t>Jul 18, 2011</t>
  </si>
  <si>
    <t>Jul 15, 2011</t>
  </si>
  <si>
    <t>Jul 14, 2011</t>
  </si>
  <si>
    <t>Jul 13, 2011</t>
  </si>
  <si>
    <t>Jul 12, 2011</t>
  </si>
  <si>
    <t>Jul 11, 2011</t>
  </si>
  <si>
    <t>Jul 8, 2011</t>
  </si>
  <si>
    <t>Jul 7, 2011</t>
  </si>
  <si>
    <t>Jul 6, 2011</t>
  </si>
  <si>
    <t>Jul 5, 2011</t>
  </si>
  <si>
    <t>Jul 1, 2011</t>
  </si>
  <si>
    <t>Jun 30, 2011</t>
  </si>
  <si>
    <t>Jun 29, 2011</t>
  </si>
  <si>
    <t>Jun 28, 2011</t>
  </si>
  <si>
    <t>Jun 27, 2011</t>
  </si>
  <si>
    <t>Jun 24, 2011</t>
  </si>
  <si>
    <t>Jun 23, 2011</t>
  </si>
  <si>
    <t>Jun 22, 2011</t>
  </si>
  <si>
    <t>Jun 21, 2011</t>
  </si>
  <si>
    <t>Jun 20, 2011</t>
  </si>
  <si>
    <t>Jun 17, 2011</t>
  </si>
  <si>
    <t>Jun 16, 2011</t>
  </si>
  <si>
    <t>Jun 15, 2011</t>
  </si>
  <si>
    <t>Jun 14, 2011</t>
  </si>
  <si>
    <t>Jun 13, 2011</t>
  </si>
  <si>
    <t>Jun 10, 2011</t>
  </si>
  <si>
    <t>Jun 9, 2011</t>
  </si>
  <si>
    <t>Jun 8, 2011</t>
  </si>
  <si>
    <t>Jun 7, 2011</t>
  </si>
  <si>
    <t>Jun 6, 2011</t>
  </si>
  <si>
    <t>Jun 3, 2011</t>
  </si>
  <si>
    <t>Jun 2, 2011</t>
  </si>
  <si>
    <t>Jun 1, 2011</t>
  </si>
  <si>
    <t>May 31, 2011</t>
  </si>
  <si>
    <t>May 27, 2011</t>
  </si>
  <si>
    <t>May 26, 2011</t>
  </si>
  <si>
    <t>May 25, 2011</t>
  </si>
  <si>
    <t>May 24, 2011</t>
  </si>
  <si>
    <t>May 23, 2011</t>
  </si>
  <si>
    <t>May 20, 2011</t>
  </si>
  <si>
    <t>May 19, 2011</t>
  </si>
  <si>
    <t>May 18, 2011</t>
  </si>
  <si>
    <t>May 17, 2011</t>
  </si>
  <si>
    <t>May 16, 2011</t>
  </si>
  <si>
    <t>May 13, 2011</t>
  </si>
  <si>
    <t>May 12, 2011</t>
  </si>
  <si>
    <t>May 11, 2011</t>
  </si>
  <si>
    <t>May 10, 2011</t>
  </si>
  <si>
    <t>May 9, 2011</t>
  </si>
  <si>
    <t>May 6, 2011</t>
  </si>
  <si>
    <t>May 5, 2011</t>
  </si>
  <si>
    <t>May 4, 2011</t>
  </si>
  <si>
    <t>May 3, 2011</t>
  </si>
  <si>
    <t>May 2, 2011</t>
  </si>
  <si>
    <t>Apr 29, 2011</t>
  </si>
  <si>
    <t>Apr 28, 2011</t>
  </si>
  <si>
    <t>Apr 27, 2011</t>
  </si>
  <si>
    <t>Apr 26, 2011</t>
  </si>
  <si>
    <t>Apr 25, 2011</t>
  </si>
  <si>
    <t>Apr 21, 2011</t>
  </si>
  <si>
    <t>Apr 20, 2011</t>
  </si>
  <si>
    <t>Apr 19, 2011</t>
  </si>
  <si>
    <t>Apr 18, 2011</t>
  </si>
  <si>
    <t>Apr 15, 2011</t>
  </si>
  <si>
    <t>Apr 14, 2011</t>
  </si>
  <si>
    <t>Apr 13, 2011</t>
  </si>
  <si>
    <t>Apr 12, 2011</t>
  </si>
  <si>
    <t>Apr 11, 2011</t>
  </si>
  <si>
    <t>Apr 8, 2011</t>
  </si>
  <si>
    <t>Apr 7, 2011</t>
  </si>
  <si>
    <t>Apr 6, 2011</t>
  </si>
  <si>
    <t>Apr 5, 2011</t>
  </si>
  <si>
    <t>Apr 4, 2011</t>
  </si>
  <si>
    <t>Apr 1, 2011</t>
  </si>
  <si>
    <t>Mar 31, 2011</t>
  </si>
  <si>
    <t>Mar 30, 2011</t>
  </si>
  <si>
    <t>Mar 29, 2011</t>
  </si>
  <si>
    <t>Mar 28, 2011</t>
  </si>
  <si>
    <t>Mar 25, 2011</t>
  </si>
  <si>
    <t>Mar 24, 2011</t>
  </si>
  <si>
    <t>Mar 23, 2011</t>
  </si>
  <si>
    <t>Mar 22, 2011</t>
  </si>
  <si>
    <t>Mar 21, 2011</t>
  </si>
  <si>
    <t>Mar 18, 2011</t>
  </si>
  <si>
    <t>Mar 17, 2011</t>
  </si>
  <si>
    <t>Mar 16, 2011</t>
  </si>
  <si>
    <t>Mar 15, 2011</t>
  </si>
  <si>
    <t>Mar 14, 2011</t>
  </si>
  <si>
    <t>Mar 11, 2011</t>
  </si>
  <si>
    <t>Mar 10, 2011</t>
  </si>
  <si>
    <t>Mar 9, 2011</t>
  </si>
  <si>
    <t>Mar 8, 2011</t>
  </si>
  <si>
    <t>Mar 7, 2011</t>
  </si>
  <si>
    <t>Mar 4, 2011</t>
  </si>
  <si>
    <t>Mar 3, 2011</t>
  </si>
  <si>
    <t>Mar 2, 2011</t>
  </si>
  <si>
    <t>Mar 1, 2011</t>
  </si>
  <si>
    <t>Feb 28, 2011</t>
  </si>
  <si>
    <t>Feb 25, 2011</t>
  </si>
  <si>
    <t>Feb 24, 2011</t>
  </si>
  <si>
    <t>Feb 23, 2011</t>
  </si>
  <si>
    <t>Feb 22, 2011</t>
  </si>
  <si>
    <t>Feb 18, 2011</t>
  </si>
  <si>
    <t>Feb 17, 2011</t>
  </si>
  <si>
    <t>Feb 16, 2011</t>
  </si>
  <si>
    <t>Feb 15, 2011</t>
  </si>
  <si>
    <t>Feb 14, 2011</t>
  </si>
  <si>
    <t>Feb 11, 2011</t>
  </si>
  <si>
    <t>Feb 10, 2011</t>
  </si>
  <si>
    <t>Feb 9, 2011</t>
  </si>
  <si>
    <t>Feb 8, 2011</t>
  </si>
  <si>
    <t>Feb 7, 2011</t>
  </si>
  <si>
    <t>Feb 4, 2011</t>
  </si>
  <si>
    <t>Feb 3, 2011</t>
  </si>
  <si>
    <t>Feb 2, 2011</t>
  </si>
  <si>
    <t>Feb 1, 2011</t>
  </si>
  <si>
    <t>Jan 31, 2011</t>
  </si>
  <si>
    <t>Jan 28, 2011</t>
  </si>
  <si>
    <t>Jan 27, 2011</t>
  </si>
  <si>
    <t>Jan 26, 2011</t>
  </si>
  <si>
    <t>Jan 25, 2011</t>
  </si>
  <si>
    <t>Jan 24, 2011</t>
  </si>
  <si>
    <t>Jan 21, 2011</t>
  </si>
  <si>
    <t>Jan 20, 2011</t>
  </si>
  <si>
    <t>Jan 19, 2011</t>
  </si>
  <si>
    <t>Jan 18, 2011</t>
  </si>
  <si>
    <t>Jan 14, 2011</t>
  </si>
  <si>
    <t>Jan 13, 2011</t>
  </si>
  <si>
    <t>Jan 12, 2011</t>
  </si>
  <si>
    <t>Jan 11, 2011</t>
  </si>
  <si>
    <t>Jan 10, 2011</t>
  </si>
  <si>
    <t>Jan 7, 2011</t>
  </si>
  <si>
    <t>Jan 6, 2011</t>
  </si>
  <si>
    <t>Jan 5, 2011</t>
  </si>
  <si>
    <t>Jan 4, 2011</t>
  </si>
  <si>
    <t>Jan 3, 2011</t>
  </si>
  <si>
    <t>Dec 31, 2010</t>
  </si>
  <si>
    <t>Dec 30, 2010</t>
  </si>
  <si>
    <t>Dec 29, 2010</t>
  </si>
  <si>
    <t>Dec 28, 2010</t>
  </si>
  <si>
    <t>Dec 27, 2010</t>
  </si>
  <si>
    <t>Dec 23, 2010</t>
  </si>
  <si>
    <t>Dec 22, 2010</t>
  </si>
  <si>
    <t>Dec 21, 2010</t>
  </si>
  <si>
    <t>Dec 20, 2010</t>
  </si>
  <si>
    <t>Dec 17, 2010</t>
  </si>
  <si>
    <t>Dec 16, 2010</t>
  </si>
  <si>
    <t>Dec 15, 2010</t>
  </si>
  <si>
    <t>Dec 14, 2010</t>
  </si>
  <si>
    <t>Dec 13, 2010</t>
  </si>
  <si>
    <t>Dec 10, 2010</t>
  </si>
  <si>
    <t>Dec 9, 2010</t>
  </si>
  <si>
    <t>Dec 8, 2010</t>
  </si>
  <si>
    <t>Dec 7, 2010</t>
  </si>
  <si>
    <t>Dec 6, 2010</t>
  </si>
  <si>
    <t>Dec 3, 2010</t>
  </si>
  <si>
    <t>Dec 2, 2010</t>
  </si>
  <si>
    <t>Dec 1, 2010</t>
  </si>
  <si>
    <t>Nov 30, 2010</t>
  </si>
  <si>
    <t>Nov 29, 2010</t>
  </si>
  <si>
    <t>Nov 26, 2010</t>
  </si>
  <si>
    <t>Nov 24, 2010</t>
  </si>
  <si>
    <t>Nov 23, 2010</t>
  </si>
  <si>
    <t>Nov 22, 2010</t>
  </si>
  <si>
    <t>Nov 19, 2010</t>
  </si>
  <si>
    <t>Nov 18, 2010</t>
  </si>
  <si>
    <t>Nov 17, 2010</t>
  </si>
  <si>
    <t>Nov 16, 2010</t>
  </si>
  <si>
    <t>Nov 15, 2010</t>
  </si>
  <si>
    <t>Nov 12, 2010</t>
  </si>
  <si>
    <t>Nov 11, 2010</t>
  </si>
  <si>
    <t>Nov 10, 2010</t>
  </si>
  <si>
    <t>Nov 9, 2010</t>
  </si>
  <si>
    <t>Nov 8, 2010</t>
  </si>
  <si>
    <t>Nov 5, 2010</t>
  </si>
  <si>
    <t>Nov 4, 2010</t>
  </si>
  <si>
    <t>WACC CALCULATION</t>
  </si>
  <si>
    <t>Current stock price (30/9/2013)</t>
  </si>
  <si>
    <t>Number of Common Shares Outstanding</t>
  </si>
  <si>
    <r>
      <rPr>
        <b/>
        <sz val="18"/>
        <color theme="1"/>
        <rFont val="Calibri"/>
        <family val="2"/>
        <charset val="161"/>
        <scheme val="minor"/>
      </rPr>
      <t>WACC = r</t>
    </r>
    <r>
      <rPr>
        <b/>
        <sz val="9"/>
        <color theme="1"/>
        <rFont val="Calibri"/>
        <family val="2"/>
        <charset val="161"/>
        <scheme val="minor"/>
      </rPr>
      <t>Equity</t>
    </r>
    <r>
      <rPr>
        <b/>
        <sz val="18"/>
        <color theme="1"/>
        <rFont val="Calibri"/>
        <family val="2"/>
        <charset val="161"/>
        <scheme val="minor"/>
      </rPr>
      <t>*w</t>
    </r>
    <r>
      <rPr>
        <b/>
        <sz val="9"/>
        <color theme="1"/>
        <rFont val="Calibri"/>
        <family val="2"/>
        <charset val="161"/>
        <scheme val="minor"/>
      </rPr>
      <t xml:space="preserve">Equity </t>
    </r>
    <r>
      <rPr>
        <b/>
        <sz val="18"/>
        <color theme="1"/>
        <rFont val="Calibri"/>
        <family val="2"/>
        <charset val="161"/>
        <scheme val="minor"/>
      </rPr>
      <t>+ (1-T)*r</t>
    </r>
    <r>
      <rPr>
        <b/>
        <sz val="9"/>
        <color theme="1"/>
        <rFont val="Calibri"/>
        <family val="2"/>
        <charset val="161"/>
        <scheme val="minor"/>
      </rPr>
      <t>Debt</t>
    </r>
    <r>
      <rPr>
        <b/>
        <sz val="18"/>
        <color theme="1"/>
        <rFont val="Calibri"/>
        <family val="2"/>
        <charset val="161"/>
        <scheme val="minor"/>
      </rPr>
      <t>*w</t>
    </r>
    <r>
      <rPr>
        <b/>
        <sz val="9"/>
        <color theme="1"/>
        <rFont val="Calibri"/>
        <family val="2"/>
        <charset val="161"/>
        <scheme val="minor"/>
      </rPr>
      <t>Debt</t>
    </r>
  </si>
  <si>
    <r>
      <t xml:space="preserve">Market Value of Equity </t>
    </r>
    <r>
      <rPr>
        <b/>
        <sz val="14"/>
        <color theme="1"/>
        <rFont val="Calibri"/>
        <family val="2"/>
        <charset val="161"/>
        <scheme val="minor"/>
      </rPr>
      <t>(E)</t>
    </r>
  </si>
  <si>
    <r>
      <t xml:space="preserve">Market Value of Debt </t>
    </r>
    <r>
      <rPr>
        <b/>
        <sz val="14"/>
        <color theme="1"/>
        <rFont val="Calibri"/>
        <family val="2"/>
        <charset val="161"/>
        <scheme val="minor"/>
      </rPr>
      <t>(D)*</t>
    </r>
  </si>
  <si>
    <r>
      <t xml:space="preserve">Total Market Value of Debt and Equity </t>
    </r>
    <r>
      <rPr>
        <b/>
        <sz val="14"/>
        <color theme="1"/>
        <rFont val="Calibri"/>
        <family val="2"/>
        <charset val="161"/>
        <scheme val="minor"/>
      </rPr>
      <t>(E+D)</t>
    </r>
  </si>
  <si>
    <t>Capital Asset Pricing Model</t>
  </si>
  <si>
    <r>
      <t xml:space="preserve">Weight of Equity </t>
    </r>
    <r>
      <rPr>
        <b/>
        <sz val="14"/>
        <color theme="1"/>
        <rFont val="Calibri"/>
        <family val="2"/>
        <charset val="161"/>
        <scheme val="minor"/>
      </rPr>
      <t>(w</t>
    </r>
    <r>
      <rPr>
        <b/>
        <sz val="8"/>
        <color theme="1"/>
        <rFont val="Calibri"/>
        <family val="2"/>
        <charset val="161"/>
        <scheme val="minor"/>
      </rPr>
      <t>E</t>
    </r>
    <r>
      <rPr>
        <b/>
        <sz val="14"/>
        <color theme="1"/>
        <rFont val="Calibri"/>
        <family val="2"/>
        <charset val="161"/>
        <scheme val="minor"/>
      </rPr>
      <t>)</t>
    </r>
  </si>
  <si>
    <r>
      <rPr>
        <b/>
        <sz val="18"/>
        <color theme="1"/>
        <rFont val="Calibri"/>
        <family val="2"/>
        <charset val="161"/>
        <scheme val="minor"/>
      </rPr>
      <t>r</t>
    </r>
    <r>
      <rPr>
        <b/>
        <sz val="9"/>
        <color theme="1"/>
        <rFont val="Calibri"/>
        <family val="2"/>
        <charset val="161"/>
        <scheme val="minor"/>
      </rPr>
      <t xml:space="preserve">Equity </t>
    </r>
    <r>
      <rPr>
        <b/>
        <sz val="18"/>
        <color theme="1"/>
        <rFont val="Calibri"/>
        <family val="2"/>
        <charset val="161"/>
        <scheme val="minor"/>
      </rPr>
      <t>= r</t>
    </r>
    <r>
      <rPr>
        <b/>
        <sz val="9"/>
        <color theme="1"/>
        <rFont val="Calibri"/>
        <family val="2"/>
        <charset val="161"/>
        <scheme val="minor"/>
      </rPr>
      <t xml:space="preserve">F </t>
    </r>
    <r>
      <rPr>
        <b/>
        <sz val="18"/>
        <color theme="1"/>
        <rFont val="Calibri"/>
        <family val="2"/>
        <charset val="161"/>
        <scheme val="minor"/>
      </rPr>
      <t>+ b*(r</t>
    </r>
    <r>
      <rPr>
        <b/>
        <sz val="9"/>
        <color theme="1"/>
        <rFont val="Calibri"/>
        <family val="2"/>
        <charset val="161"/>
        <scheme val="minor"/>
      </rPr>
      <t>M</t>
    </r>
    <r>
      <rPr>
        <b/>
        <sz val="18"/>
        <color theme="1"/>
        <rFont val="Calibri"/>
        <family val="2"/>
        <charset val="161"/>
        <scheme val="minor"/>
      </rPr>
      <t>-r</t>
    </r>
    <r>
      <rPr>
        <b/>
        <sz val="9"/>
        <color theme="1"/>
        <rFont val="Calibri"/>
        <family val="2"/>
        <charset val="161"/>
        <scheme val="minor"/>
      </rPr>
      <t>F</t>
    </r>
    <r>
      <rPr>
        <b/>
        <sz val="18"/>
        <color theme="1"/>
        <rFont val="Calibri"/>
        <family val="2"/>
        <charset val="161"/>
        <scheme val="minor"/>
      </rPr>
      <t>)</t>
    </r>
  </si>
  <si>
    <r>
      <t xml:space="preserve">Weight of Debt </t>
    </r>
    <r>
      <rPr>
        <b/>
        <sz val="14"/>
        <color theme="1"/>
        <rFont val="Calibri"/>
        <family val="2"/>
        <charset val="161"/>
        <scheme val="minor"/>
      </rPr>
      <t>(w</t>
    </r>
    <r>
      <rPr>
        <b/>
        <sz val="8"/>
        <color theme="1"/>
        <rFont val="Calibri"/>
        <family val="2"/>
        <charset val="161"/>
        <scheme val="minor"/>
      </rPr>
      <t>D</t>
    </r>
    <r>
      <rPr>
        <b/>
        <sz val="14"/>
        <color theme="1"/>
        <rFont val="Calibri"/>
        <family val="2"/>
        <charset val="161"/>
        <scheme val="minor"/>
      </rPr>
      <t>)</t>
    </r>
  </si>
  <si>
    <r>
      <t xml:space="preserve">Market Return </t>
    </r>
    <r>
      <rPr>
        <b/>
        <sz val="14"/>
        <color theme="1"/>
        <rFont val="Calibri"/>
        <family val="2"/>
        <charset val="161"/>
        <scheme val="minor"/>
      </rPr>
      <t>(r</t>
    </r>
    <r>
      <rPr>
        <b/>
        <sz val="8"/>
        <color theme="1"/>
        <rFont val="Calibri"/>
        <family val="2"/>
        <charset val="161"/>
        <scheme val="minor"/>
      </rPr>
      <t>M</t>
    </r>
    <r>
      <rPr>
        <b/>
        <sz val="14"/>
        <color theme="1"/>
        <rFont val="Calibri"/>
        <family val="2"/>
        <charset val="161"/>
        <scheme val="minor"/>
      </rPr>
      <t>)</t>
    </r>
  </si>
  <si>
    <r>
      <t xml:space="preserve">Risk Free Rate </t>
    </r>
    <r>
      <rPr>
        <b/>
        <sz val="14"/>
        <color theme="1"/>
        <rFont val="Calibri"/>
        <family val="2"/>
        <charset val="161"/>
        <scheme val="minor"/>
      </rPr>
      <t>(r</t>
    </r>
    <r>
      <rPr>
        <b/>
        <sz val="8"/>
        <color theme="1"/>
        <rFont val="Calibri"/>
        <family val="2"/>
        <charset val="161"/>
        <scheme val="minor"/>
      </rPr>
      <t>F</t>
    </r>
    <r>
      <rPr>
        <b/>
        <sz val="14"/>
        <color theme="1"/>
        <rFont val="Calibri"/>
        <family val="2"/>
        <charset val="161"/>
        <scheme val="minor"/>
      </rPr>
      <t xml:space="preserve">) = </t>
    </r>
    <r>
      <rPr>
        <b/>
        <sz val="12"/>
        <color theme="1"/>
        <rFont val="Calibri"/>
        <family val="2"/>
        <charset val="161"/>
        <scheme val="minor"/>
      </rPr>
      <t>10Y U.S. Treasury Bond</t>
    </r>
  </si>
  <si>
    <r>
      <t xml:space="preserve">Market Risk Premium </t>
    </r>
    <r>
      <rPr>
        <b/>
        <sz val="14"/>
        <color theme="1"/>
        <rFont val="Calibri"/>
        <family val="2"/>
        <charset val="161"/>
        <scheme val="minor"/>
      </rPr>
      <t>(r</t>
    </r>
    <r>
      <rPr>
        <b/>
        <sz val="8"/>
        <color theme="1"/>
        <rFont val="Calibri"/>
        <family val="2"/>
        <charset val="161"/>
        <scheme val="minor"/>
      </rPr>
      <t>M-</t>
    </r>
    <r>
      <rPr>
        <b/>
        <sz val="14"/>
        <color theme="1"/>
        <rFont val="Calibri"/>
        <family val="2"/>
        <charset val="161"/>
        <scheme val="minor"/>
      </rPr>
      <t>r</t>
    </r>
    <r>
      <rPr>
        <b/>
        <sz val="8"/>
        <color theme="1"/>
        <rFont val="Calibri"/>
        <family val="2"/>
        <charset val="161"/>
        <scheme val="minor"/>
      </rPr>
      <t>F</t>
    </r>
    <r>
      <rPr>
        <b/>
        <sz val="14"/>
        <color theme="1"/>
        <rFont val="Calibri"/>
        <family val="2"/>
        <charset val="161"/>
        <scheme val="minor"/>
      </rPr>
      <t>)</t>
    </r>
  </si>
  <si>
    <t>Beta</t>
  </si>
  <si>
    <r>
      <t xml:space="preserve">Cost of Equity through CAPM </t>
    </r>
    <r>
      <rPr>
        <b/>
        <sz val="14"/>
        <color theme="1"/>
        <rFont val="Calibri"/>
        <family val="2"/>
        <charset val="161"/>
        <scheme val="minor"/>
      </rPr>
      <t>(r</t>
    </r>
    <r>
      <rPr>
        <b/>
        <sz val="8"/>
        <color theme="1"/>
        <rFont val="Calibri"/>
        <family val="2"/>
        <charset val="161"/>
        <scheme val="minor"/>
      </rPr>
      <t>Equity</t>
    </r>
    <r>
      <rPr>
        <b/>
        <sz val="14"/>
        <color theme="1"/>
        <rFont val="Calibri"/>
        <family val="2"/>
        <charset val="161"/>
        <scheme val="minor"/>
      </rPr>
      <t>)</t>
    </r>
  </si>
  <si>
    <t>Interest Expense</t>
  </si>
  <si>
    <t>Average Debt</t>
  </si>
  <si>
    <r>
      <t xml:space="preserve">Cost of Debt </t>
    </r>
    <r>
      <rPr>
        <b/>
        <sz val="14"/>
        <color theme="1"/>
        <rFont val="Calibri"/>
        <family val="2"/>
        <charset val="161"/>
        <scheme val="minor"/>
      </rPr>
      <t>(r</t>
    </r>
    <r>
      <rPr>
        <b/>
        <sz val="8"/>
        <color theme="1"/>
        <rFont val="Calibri"/>
        <family val="2"/>
        <charset val="161"/>
        <scheme val="minor"/>
      </rPr>
      <t>Debt</t>
    </r>
    <r>
      <rPr>
        <b/>
        <sz val="14"/>
        <color theme="1"/>
        <rFont val="Calibri"/>
        <family val="2"/>
        <charset val="161"/>
        <scheme val="minor"/>
      </rPr>
      <t>)</t>
    </r>
  </si>
  <si>
    <r>
      <t xml:space="preserve">Weighted Average Cost of Capital </t>
    </r>
    <r>
      <rPr>
        <b/>
        <sz val="14"/>
        <color theme="1"/>
        <rFont val="Calibri"/>
        <family val="2"/>
        <charset val="161"/>
        <scheme val="minor"/>
      </rPr>
      <t>(WACC)</t>
    </r>
  </si>
  <si>
    <t>&lt; ROC, so the company is creating value</t>
  </si>
  <si>
    <t>* All Liabilities are considered as Debt</t>
  </si>
  <si>
    <t>PwC Global Shipping Benchmarking Analysis 2013</t>
  </si>
  <si>
    <t>Calculations CMRE Data</t>
  </si>
  <si>
    <t>Calculations Container Market Data</t>
  </si>
  <si>
    <t>Scale Modification</t>
  </si>
  <si>
    <t>RATIOS</t>
  </si>
  <si>
    <t>CMRE 5Y Average</t>
  </si>
  <si>
    <t>CMRE 2Y Average</t>
  </si>
  <si>
    <t>Container Market 5Y Average</t>
  </si>
  <si>
    <t>Container Market 2Y Average</t>
  </si>
  <si>
    <t>5Y Comparison</t>
  </si>
  <si>
    <t>2Y Comparison</t>
  </si>
  <si>
    <t>1.</t>
  </si>
  <si>
    <t>RONOA</t>
  </si>
  <si>
    <t>0 (*)</t>
  </si>
  <si>
    <t>EBIT</t>
  </si>
  <si>
    <t>Net Operating Assets</t>
  </si>
  <si>
    <t>2.</t>
  </si>
  <si>
    <t>Working Capital/Net Sales</t>
  </si>
  <si>
    <t>3.</t>
  </si>
  <si>
    <t>Net Fixed Assets/Net Sales</t>
  </si>
  <si>
    <t>4.</t>
  </si>
  <si>
    <t>EBIT/Net Sales</t>
  </si>
  <si>
    <t>10 (*)</t>
  </si>
  <si>
    <t>5.</t>
  </si>
  <si>
    <r>
      <t>ROCE</t>
    </r>
    <r>
      <rPr>
        <sz val="11"/>
        <color theme="1"/>
        <rFont val="Calibri"/>
        <family val="2"/>
        <charset val="161"/>
        <scheme val="minor"/>
      </rPr>
      <t>=Income after Taxation/Capital Employed</t>
    </r>
  </si>
  <si>
    <t>Capital Employed=Total Assets-Current Liabilities</t>
  </si>
  <si>
    <t>6.</t>
  </si>
  <si>
    <t>ROE</t>
  </si>
  <si>
    <t>7.</t>
  </si>
  <si>
    <t>Solvency</t>
  </si>
  <si>
    <t>8.</t>
  </si>
  <si>
    <t>Current Ratio</t>
  </si>
  <si>
    <t>9.</t>
  </si>
  <si>
    <t>Net Debt/Total Assets</t>
  </si>
  <si>
    <t>10.</t>
  </si>
  <si>
    <t>EBITDA/Net Finance Costs</t>
  </si>
  <si>
    <t>EBITDA=EBIT+Depreciation+Amortization</t>
  </si>
  <si>
    <t>Net Finance Costs</t>
  </si>
  <si>
    <t>* Όπου η διαφορά ξεπερνά τα όρια βαθμολόγησης βάζουμε το μέγιστο δλδ. 10, ενώ όταν υπολέιπεται βάζουμε το ελάχιστο δλδ. 0.</t>
  </si>
  <si>
    <t>CONTAINER MARKET 2Y AVERAGE</t>
  </si>
  <si>
    <t>CMRE 2Y AVERAGE</t>
  </si>
  <si>
    <t>WC/NET SALES</t>
  </si>
  <si>
    <t>NET FIXED ASSETS/NET SALES</t>
  </si>
  <si>
    <t>EBIT/NET SALES</t>
  </si>
  <si>
    <t>ROCE</t>
  </si>
  <si>
    <t>SOLVENCY</t>
  </si>
  <si>
    <t>CURRENT RATIO</t>
  </si>
  <si>
    <t>NET DEBT/TOTAL ASSETS</t>
  </si>
  <si>
    <t>EBITDA/NET FINANCE COSTS</t>
  </si>
  <si>
    <t>ΜΗΤΡΑ SPACE (Strategic Position and ACtion Evaluation)</t>
  </si>
  <si>
    <t>Net Income</t>
  </si>
  <si>
    <t>Stockholders' Equity</t>
  </si>
  <si>
    <t xml:space="preserve"> Total Assets</t>
  </si>
  <si>
    <t>Total Current Assets</t>
  </si>
  <si>
    <t>Total Current Liabilities</t>
  </si>
  <si>
    <t>Long-term Debt</t>
  </si>
  <si>
    <t>Return on Equity</t>
  </si>
  <si>
    <t>Financial Leverage</t>
  </si>
  <si>
    <t>Return on Assets</t>
  </si>
  <si>
    <t>General Liquidity</t>
  </si>
  <si>
    <t>Return on Capital</t>
  </si>
  <si>
    <t>ALTMAN'S GENERAL MODEL</t>
  </si>
  <si>
    <t>Metric Components</t>
  </si>
  <si>
    <t>Pure Ratio</t>
  </si>
  <si>
    <t>Coefficient</t>
  </si>
  <si>
    <t>Result</t>
  </si>
  <si>
    <t>Mean Values</t>
  </si>
  <si>
    <t>Excel Metrics</t>
  </si>
  <si>
    <t>Bnkrpt</t>
  </si>
  <si>
    <t>Not Bnkrpt</t>
  </si>
  <si>
    <t>Liquidity Metric</t>
  </si>
  <si>
    <t>Working Capital</t>
  </si>
  <si>
    <t>Total Assets</t>
  </si>
  <si>
    <t>Historical Profitability Metric</t>
  </si>
  <si>
    <t>Retained Earnings</t>
  </si>
  <si>
    <t>Current Profitability Metric</t>
  </si>
  <si>
    <t>Solvency Metric</t>
  </si>
  <si>
    <t>Equity</t>
  </si>
  <si>
    <t>Total Liabilities</t>
  </si>
  <si>
    <t>Z-Score Value</t>
  </si>
  <si>
    <t>Score</t>
  </si>
  <si>
    <t>Likelyhood of failure</t>
  </si>
  <si>
    <t>… &lt; 1,8</t>
  </si>
  <si>
    <t>Very High</t>
  </si>
  <si>
    <t>1,81 &lt; … &lt; 2,67</t>
  </si>
  <si>
    <t>High</t>
  </si>
  <si>
    <t>2,68 &lt; … &lt; 2,99</t>
  </si>
  <si>
    <t>Possible</t>
  </si>
  <si>
    <t>3,00 &lt; …</t>
  </si>
  <si>
    <t>Low</t>
  </si>
  <si>
    <t>ALTMAN'S SPECIALIZED MODEL</t>
  </si>
  <si>
    <t>Market Value of Equity</t>
  </si>
  <si>
    <t>Asset Turnover Metric</t>
  </si>
  <si>
    <t>Sales</t>
  </si>
  <si>
    <t>… &lt; 1,1</t>
  </si>
  <si>
    <t xml:space="preserve">1,2 &lt; … &lt; 2,5 </t>
  </si>
  <si>
    <t>2,6 &lt;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</si>
</sst>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[$$-409]* #,##0.00_ ;_-[$$-409]* \-#,##0.00\ ;_-[$$-409]* &quot;-&quot;??_ ;_-@_ "/>
    <numFmt numFmtId="166" formatCode="_-[$$-409]* #,##0_ ;_-[$$-409]* \-#,##0\ ;_-[$$-409]* &quot;-&quot;_ ;_-@_ "/>
    <numFmt numFmtId="167" formatCode="0.0"/>
  </numFmts>
  <fonts count="2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u val="double"/>
      <sz val="11"/>
      <color theme="1"/>
      <name val="Calibri"/>
      <family val="2"/>
      <charset val="161"/>
      <scheme val="minor"/>
    </font>
    <font>
      <u val="double"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6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</fills>
  <borders count="18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medium">
        <color indexed="64"/>
      </left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ck">
        <color indexed="6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1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ck">
        <color indexed="64"/>
      </bottom>
      <diagonal/>
    </border>
    <border>
      <left/>
      <right style="thin">
        <color theme="1"/>
      </right>
      <top/>
      <bottom style="thick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ck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ck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indexed="64"/>
      </bottom>
      <diagonal/>
    </border>
    <border>
      <left/>
      <right style="thin">
        <color theme="1"/>
      </right>
      <top style="thick">
        <color indexed="64"/>
      </top>
      <bottom style="thin">
        <color theme="1"/>
      </bottom>
      <diagonal/>
    </border>
    <border>
      <left/>
      <right style="thin">
        <color theme="1"/>
      </right>
      <top style="thick">
        <color indexed="64"/>
      </top>
      <bottom/>
      <diagonal/>
    </border>
    <border>
      <left/>
      <right style="thin">
        <color theme="1"/>
      </right>
      <top style="thick">
        <color indexed="64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ck">
        <color indexed="64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ck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indexed="64"/>
      </bottom>
      <diagonal/>
    </border>
    <border>
      <left style="thin">
        <color indexed="64"/>
      </left>
      <right style="thin">
        <color theme="1"/>
      </right>
      <top style="thick">
        <color indexed="64"/>
      </top>
      <bottom style="thick">
        <color indexed="64"/>
      </bottom>
      <diagonal/>
    </border>
    <border>
      <left style="thin">
        <color theme="1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ck">
        <color indexed="64"/>
      </top>
      <bottom style="thin">
        <color theme="1"/>
      </bottom>
      <diagonal/>
    </border>
    <border>
      <left style="thin">
        <color theme="3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ck">
        <color theme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1"/>
      </bottom>
      <diagonal/>
    </border>
    <border>
      <left style="thick">
        <color indexed="64"/>
      </left>
      <right style="thick">
        <color theme="1"/>
      </right>
      <top style="thick">
        <color indexed="64"/>
      </top>
      <bottom/>
      <diagonal/>
    </border>
    <border>
      <left style="thick">
        <color indexed="64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thick">
        <color theme="1"/>
      </right>
      <top/>
      <bottom/>
      <diagonal/>
    </border>
    <border>
      <left style="thick">
        <color indexed="64"/>
      </left>
      <right style="thick">
        <color theme="1"/>
      </right>
      <top style="thin">
        <color theme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theme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theme="1"/>
      </right>
      <top style="thick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ck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ck">
        <color indexed="64"/>
      </bottom>
      <diagonal/>
    </border>
    <border>
      <left style="thin">
        <color theme="4" tint="0.59999389629810485"/>
      </left>
      <right style="thick">
        <color indexed="64"/>
      </right>
      <top/>
      <bottom style="thick">
        <color indexed="64"/>
      </bottom>
      <diagonal/>
    </border>
    <border>
      <left style="thin">
        <color theme="4" tint="0.59999389629810485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ck">
        <color theme="1"/>
      </top>
      <bottom style="thick">
        <color indexed="64"/>
      </bottom>
      <diagonal/>
    </border>
    <border>
      <left style="thick">
        <color theme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4" tint="0.39997558519241921"/>
      </left>
      <right style="thin">
        <color theme="4" tint="0.59999389629810485"/>
      </right>
      <top style="thin">
        <color theme="4" tint="0.59999389629810485"/>
      </top>
      <bottom style="thick">
        <color indexed="64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thick">
        <color indexed="64"/>
      </bottom>
      <diagonal/>
    </border>
    <border>
      <left/>
      <right style="thick">
        <color theme="1"/>
      </right>
      <top/>
      <bottom style="thick">
        <color indexed="6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ck">
        <color indexed="64"/>
      </top>
      <bottom style="thick">
        <color indexed="64"/>
      </bottom>
      <diagonal/>
    </border>
    <border>
      <left style="thick">
        <color theme="1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theme="1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theme="1"/>
      </left>
      <right style="thick">
        <color indexed="64"/>
      </right>
      <top/>
      <bottom style="thick">
        <color indexed="64"/>
      </bottom>
      <diagonal/>
    </border>
    <border>
      <left style="thick">
        <color theme="1"/>
      </left>
      <right/>
      <top style="thick">
        <color indexed="64"/>
      </top>
      <bottom style="thick">
        <color indexed="64"/>
      </bottom>
      <diagonal/>
    </border>
    <border>
      <left style="thick">
        <color theme="1"/>
      </left>
      <right/>
      <top style="thick">
        <color indexed="64"/>
      </top>
      <bottom/>
      <diagonal/>
    </border>
    <border>
      <left style="thick">
        <color theme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theme="1"/>
      </right>
      <top style="thin">
        <color theme="1"/>
      </top>
      <bottom/>
      <diagonal/>
    </border>
    <border>
      <left style="thick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theme="1"/>
      </right>
      <top/>
      <bottom style="thick">
        <color indexed="64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/>
      <top style="thick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ck">
        <color indexed="64"/>
      </bottom>
      <diagonal/>
    </border>
    <border>
      <left style="thick">
        <color theme="1"/>
      </left>
      <right style="thick">
        <color indexed="64"/>
      </right>
      <top/>
      <bottom/>
      <diagonal/>
    </border>
    <border>
      <left style="thick">
        <color theme="1"/>
      </left>
      <right style="thick">
        <color indexed="64"/>
      </right>
      <top/>
      <bottom style="thin">
        <color indexed="64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indexed="64"/>
      </top>
      <bottom style="thick">
        <color theme="1"/>
      </bottom>
      <diagonal/>
    </border>
    <border>
      <left style="thick">
        <color indexed="64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theme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theme="1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theme="1"/>
      </right>
      <top style="thick">
        <color theme="1"/>
      </top>
      <bottom style="thick">
        <color indexed="64"/>
      </bottom>
      <diagonal/>
    </border>
    <border>
      <left style="thick">
        <color indexed="64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indexed="64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 style="thick">
        <color theme="1"/>
      </right>
      <top style="thick">
        <color indexed="64"/>
      </top>
      <bottom style="thick">
        <color indexed="64"/>
      </bottom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12">
    <xf numFmtId="0" fontId="0" fillId="0" borderId="0" xfId="0"/>
    <xf numFmtId="10" fontId="0" fillId="0" borderId="0" xfId="0" applyNumberFormat="1"/>
    <xf numFmtId="10" fontId="2" fillId="0" borderId="0" xfId="0" applyNumberFormat="1" applyFont="1"/>
    <xf numFmtId="2" fontId="2" fillId="0" borderId="0" xfId="1" applyNumberFormat="1" applyFont="1"/>
    <xf numFmtId="2" fontId="2" fillId="0" borderId="0" xfId="0" applyNumberFormat="1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2" fillId="2" borderId="3" xfId="0" applyFont="1" applyFill="1" applyBorder="1"/>
    <xf numFmtId="3" fontId="7" fillId="2" borderId="3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0" fontId="0" fillId="3" borderId="7" xfId="1" applyNumberFormat="1" applyFont="1" applyFill="1" applyBorder="1" applyAlignment="1">
      <alignment horizontal="center" vertical="center"/>
    </xf>
    <xf numFmtId="10" fontId="1" fillId="3" borderId="7" xfId="1" applyNumberFormat="1" applyFont="1" applyFill="1" applyBorder="1" applyAlignment="1">
      <alignment horizontal="center" vertical="center"/>
    </xf>
    <xf numFmtId="10" fontId="0" fillId="3" borderId="24" xfId="1" applyNumberFormat="1" applyFon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10" fontId="0" fillId="3" borderId="21" xfId="1" applyNumberFormat="1" applyFont="1" applyFill="1" applyBorder="1" applyAlignment="1">
      <alignment horizontal="center" vertical="center"/>
    </xf>
    <xf numFmtId="3" fontId="0" fillId="3" borderId="21" xfId="0" applyNumberFormat="1" applyFill="1" applyBorder="1" applyAlignment="1">
      <alignment horizontal="center" vertical="center"/>
    </xf>
    <xf numFmtId="10" fontId="1" fillId="3" borderId="21" xfId="1" applyNumberFormat="1" applyFont="1" applyFill="1" applyBorder="1" applyAlignment="1">
      <alignment horizontal="center" vertical="center"/>
    </xf>
    <xf numFmtId="10" fontId="0" fillId="3" borderId="21" xfId="0" applyNumberFormat="1" applyFill="1" applyBorder="1" applyAlignment="1">
      <alignment horizontal="center" vertical="center"/>
    </xf>
    <xf numFmtId="10" fontId="0" fillId="3" borderId="1" xfId="1" applyNumberFormat="1" applyFont="1" applyFill="1" applyBorder="1" applyAlignment="1">
      <alignment horizontal="center" vertical="center"/>
    </xf>
    <xf numFmtId="10" fontId="1" fillId="3" borderId="1" xfId="1" applyNumberFormat="1" applyFont="1" applyFill="1" applyBorder="1" applyAlignment="1">
      <alignment horizontal="center" vertical="center"/>
    </xf>
    <xf numFmtId="10" fontId="0" fillId="3" borderId="16" xfId="1" applyNumberFormat="1" applyFont="1" applyFill="1" applyBorder="1" applyAlignment="1">
      <alignment horizontal="center" vertical="center"/>
    </xf>
    <xf numFmtId="3" fontId="0" fillId="3" borderId="10" xfId="0" applyNumberFormat="1" applyFill="1" applyBorder="1" applyAlignment="1">
      <alignment horizontal="center" vertical="center"/>
    </xf>
    <xf numFmtId="10" fontId="0" fillId="3" borderId="5" xfId="1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0" fontId="1" fillId="3" borderId="5" xfId="1" applyNumberFormat="1" applyFon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10" fontId="7" fillId="3" borderId="3" xfId="1" applyNumberFormat="1" applyFont="1" applyFill="1" applyBorder="1" applyAlignment="1">
      <alignment horizontal="center" vertical="center"/>
    </xf>
    <xf numFmtId="0" fontId="0" fillId="3" borderId="0" xfId="0" applyFill="1"/>
    <xf numFmtId="14" fontId="8" fillId="2" borderId="5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3" borderId="6" xfId="0" applyFill="1" applyBorder="1"/>
    <xf numFmtId="10" fontId="7" fillId="3" borderId="6" xfId="1" applyNumberFormat="1" applyFont="1" applyFill="1" applyBorder="1" applyAlignment="1">
      <alignment horizontal="center" vertical="center"/>
    </xf>
    <xf numFmtId="0" fontId="0" fillId="3" borderId="38" xfId="0" applyFill="1" applyBorder="1"/>
    <xf numFmtId="0" fontId="0" fillId="3" borderId="31" xfId="0" applyFill="1" applyBorder="1"/>
    <xf numFmtId="0" fontId="0" fillId="3" borderId="32" xfId="0" applyFill="1" applyBorder="1"/>
    <xf numFmtId="10" fontId="0" fillId="3" borderId="36" xfId="1" applyNumberFormat="1" applyFont="1" applyFill="1" applyBorder="1"/>
    <xf numFmtId="0" fontId="0" fillId="3" borderId="36" xfId="0" applyFill="1" applyBorder="1"/>
    <xf numFmtId="10" fontId="1" fillId="3" borderId="36" xfId="1" applyNumberFormat="1" applyFont="1" applyFill="1" applyBorder="1"/>
    <xf numFmtId="0" fontId="0" fillId="3" borderId="35" xfId="0" applyFill="1" applyBorder="1"/>
    <xf numFmtId="10" fontId="0" fillId="3" borderId="32" xfId="1" applyNumberFormat="1" applyFont="1" applyFill="1" applyBorder="1"/>
    <xf numFmtId="0" fontId="0" fillId="3" borderId="34" xfId="0" applyFill="1" applyBorder="1"/>
    <xf numFmtId="10" fontId="1" fillId="3" borderId="32" xfId="1" applyNumberFormat="1" applyFont="1" applyFill="1" applyBorder="1"/>
    <xf numFmtId="10" fontId="7" fillId="2" borderId="4" xfId="1" applyNumberFormat="1" applyFont="1" applyFill="1" applyBorder="1" applyAlignment="1">
      <alignment horizontal="center" vertical="center"/>
    </xf>
    <xf numFmtId="10" fontId="0" fillId="3" borderId="0" xfId="1" applyNumberFormat="1" applyFont="1" applyFill="1"/>
    <xf numFmtId="10" fontId="7" fillId="2" borderId="4" xfId="0" applyNumberFormat="1" applyFont="1" applyFill="1" applyBorder="1" applyAlignment="1">
      <alignment horizontal="center" vertical="center"/>
    </xf>
    <xf numFmtId="10" fontId="0" fillId="3" borderId="38" xfId="1" applyNumberFormat="1" applyFont="1" applyFill="1" applyBorder="1"/>
    <xf numFmtId="10" fontId="0" fillId="3" borderId="31" xfId="1" applyNumberFormat="1" applyFont="1" applyFill="1" applyBorder="1"/>
    <xf numFmtId="10" fontId="1" fillId="3" borderId="38" xfId="1" applyNumberFormat="1" applyFont="1" applyFill="1" applyBorder="1"/>
    <xf numFmtId="10" fontId="7" fillId="2" borderId="26" xfId="1" applyNumberFormat="1" applyFont="1" applyFill="1" applyBorder="1" applyAlignment="1">
      <alignment horizontal="center" vertical="center"/>
    </xf>
    <xf numFmtId="10" fontId="7" fillId="2" borderId="3" xfId="1" applyNumberFormat="1" applyFont="1" applyFill="1" applyBorder="1" applyAlignment="1">
      <alignment horizontal="center" vertical="center"/>
    </xf>
    <xf numFmtId="10" fontId="7" fillId="2" borderId="6" xfId="1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3" fontId="7" fillId="3" borderId="26" xfId="0" applyNumberFormat="1" applyFont="1" applyFill="1" applyBorder="1" applyAlignment="1">
      <alignment horizontal="center" vertical="center"/>
    </xf>
    <xf numFmtId="10" fontId="7" fillId="3" borderId="26" xfId="1" applyNumberFormat="1" applyFont="1" applyFill="1" applyBorder="1" applyAlignment="1">
      <alignment horizontal="center" vertical="center"/>
    </xf>
    <xf numFmtId="10" fontId="7" fillId="3" borderId="26" xfId="0" applyNumberFormat="1" applyFont="1" applyFill="1" applyBorder="1" applyAlignment="1">
      <alignment horizontal="center" vertical="center"/>
    </xf>
    <xf numFmtId="10" fontId="0" fillId="3" borderId="15" xfId="1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0" fontId="1" fillId="3" borderId="15" xfId="1" applyNumberFormat="1" applyFont="1" applyFill="1" applyBorder="1" applyAlignment="1">
      <alignment horizontal="center" vertical="center"/>
    </xf>
    <xf numFmtId="10" fontId="0" fillId="3" borderId="15" xfId="0" applyNumberFormat="1" applyFill="1" applyBorder="1" applyAlignment="1">
      <alignment horizontal="center" vertical="center"/>
    </xf>
    <xf numFmtId="10" fontId="1" fillId="3" borderId="16" xfId="1" applyNumberFormat="1" applyFont="1" applyFill="1" applyBorder="1" applyAlignment="1">
      <alignment horizontal="center" vertical="center"/>
    </xf>
    <xf numFmtId="10" fontId="0" fillId="3" borderId="16" xfId="0" applyNumberForma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10" fontId="0" fillId="3" borderId="9" xfId="1" applyNumberFormat="1" applyFont="1" applyFill="1" applyBorder="1" applyAlignment="1">
      <alignment horizontal="center" vertical="center"/>
    </xf>
    <xf numFmtId="10" fontId="1" fillId="3" borderId="9" xfId="1" applyNumberFormat="1" applyFont="1" applyFill="1" applyBorder="1" applyAlignment="1">
      <alignment horizontal="center" vertical="center"/>
    </xf>
    <xf numFmtId="10" fontId="0" fillId="3" borderId="23" xfId="1" applyNumberFormat="1" applyFont="1" applyFill="1" applyBorder="1"/>
    <xf numFmtId="10" fontId="0" fillId="3" borderId="34" xfId="1" applyNumberFormat="1" applyFont="1" applyFill="1" applyBorder="1"/>
    <xf numFmtId="10" fontId="1" fillId="3" borderId="34" xfId="1" applyNumberFormat="1" applyFont="1" applyFill="1" applyBorder="1"/>
    <xf numFmtId="10" fontId="0" fillId="3" borderId="38" xfId="0" applyNumberFormat="1" applyFill="1" applyBorder="1"/>
    <xf numFmtId="10" fontId="0" fillId="3" borderId="37" xfId="1" applyNumberFormat="1" applyFont="1" applyFill="1" applyBorder="1"/>
    <xf numFmtId="0" fontId="0" fillId="3" borderId="37" xfId="0" applyFill="1" applyBorder="1"/>
    <xf numFmtId="10" fontId="7" fillId="2" borderId="3" xfId="0" applyNumberFormat="1" applyFont="1" applyFill="1" applyBorder="1" applyAlignment="1">
      <alignment horizontal="center" vertical="center"/>
    </xf>
    <xf numFmtId="10" fontId="0" fillId="3" borderId="22" xfId="1" applyNumberFormat="1" applyFont="1" applyFill="1" applyBorder="1"/>
    <xf numFmtId="0" fontId="0" fillId="0" borderId="30" xfId="0" applyBorder="1"/>
    <xf numFmtId="10" fontId="0" fillId="3" borderId="0" xfId="1" applyNumberFormat="1" applyFont="1" applyFill="1" applyBorder="1"/>
    <xf numFmtId="0" fontId="0" fillId="3" borderId="18" xfId="0" applyFill="1" applyBorder="1"/>
    <xf numFmtId="3" fontId="2" fillId="2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0" fillId="0" borderId="39" xfId="0" applyBorder="1"/>
    <xf numFmtId="3" fontId="14" fillId="3" borderId="8" xfId="0" applyNumberFormat="1" applyFont="1" applyFill="1" applyBorder="1" applyAlignment="1">
      <alignment horizontal="center" vertical="center"/>
    </xf>
    <xf numFmtId="3" fontId="14" fillId="3" borderId="16" xfId="0" applyNumberFormat="1" applyFont="1" applyFill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3" fontId="14" fillId="3" borderId="2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/>
    </xf>
    <xf numFmtId="0" fontId="0" fillId="0" borderId="41" xfId="0" applyBorder="1"/>
    <xf numFmtId="0" fontId="0" fillId="3" borderId="2" xfId="0" applyFill="1" applyBorder="1"/>
    <xf numFmtId="0" fontId="2" fillId="3" borderId="43" xfId="0" applyFont="1" applyFill="1" applyBorder="1" applyAlignment="1">
      <alignment horizontal="center"/>
    </xf>
    <xf numFmtId="0" fontId="8" fillId="3" borderId="44" xfId="0" applyFont="1" applyFill="1" applyBorder="1"/>
    <xf numFmtId="0" fontId="0" fillId="3" borderId="28" xfId="0" applyFill="1" applyBorder="1"/>
    <xf numFmtId="0" fontId="4" fillId="3" borderId="46" xfId="0" applyFont="1" applyFill="1" applyBorder="1"/>
    <xf numFmtId="0" fontId="0" fillId="3" borderId="45" xfId="0" applyFill="1" applyBorder="1"/>
    <xf numFmtId="0" fontId="0" fillId="3" borderId="47" xfId="0" applyFill="1" applyBorder="1"/>
    <xf numFmtId="0" fontId="4" fillId="3" borderId="5" xfId="0" applyFont="1" applyFill="1" applyBorder="1"/>
    <xf numFmtId="0" fontId="8" fillId="3" borderId="0" xfId="0" applyFont="1" applyFill="1"/>
    <xf numFmtId="0" fontId="0" fillId="3" borderId="50" xfId="0" applyFill="1" applyBorder="1"/>
    <xf numFmtId="0" fontId="0" fillId="3" borderId="55" xfId="0" applyFill="1" applyBorder="1"/>
    <xf numFmtId="0" fontId="2" fillId="3" borderId="43" xfId="0" applyFont="1" applyFill="1" applyBorder="1"/>
    <xf numFmtId="0" fontId="2" fillId="3" borderId="45" xfId="0" applyFont="1" applyFill="1" applyBorder="1" applyAlignment="1">
      <alignment horizontal="center"/>
    </xf>
    <xf numFmtId="0" fontId="4" fillId="3" borderId="59" xfId="0" applyFont="1" applyFill="1" applyBorder="1"/>
    <xf numFmtId="0" fontId="9" fillId="3" borderId="2" xfId="0" applyFont="1" applyFill="1" applyBorder="1"/>
    <xf numFmtId="0" fontId="0" fillId="3" borderId="62" xfId="0" applyFill="1" applyBorder="1"/>
    <xf numFmtId="0" fontId="9" fillId="3" borderId="55" xfId="0" applyFont="1" applyFill="1" applyBorder="1"/>
    <xf numFmtId="0" fontId="0" fillId="3" borderId="52" xfId="0" applyFill="1" applyBorder="1"/>
    <xf numFmtId="10" fontId="0" fillId="3" borderId="0" xfId="1" applyNumberFormat="1" applyFont="1" applyFill="1" applyAlignment="1">
      <alignment horizontal="center" vertical="center"/>
    </xf>
    <xf numFmtId="10" fontId="0" fillId="3" borderId="2" xfId="1" applyNumberFormat="1" applyFont="1" applyFill="1" applyBorder="1" applyAlignment="1">
      <alignment horizontal="center" vertical="center"/>
    </xf>
    <xf numFmtId="10" fontId="0" fillId="3" borderId="49" xfId="1" applyNumberFormat="1" applyFont="1" applyFill="1" applyBorder="1" applyAlignment="1">
      <alignment horizontal="center" vertical="center"/>
    </xf>
    <xf numFmtId="0" fontId="0" fillId="3" borderId="60" xfId="0" applyFill="1" applyBorder="1"/>
    <xf numFmtId="10" fontId="0" fillId="3" borderId="60" xfId="1" applyNumberFormat="1" applyFont="1" applyFill="1" applyBorder="1" applyAlignment="1">
      <alignment horizontal="center" vertical="center"/>
    </xf>
    <xf numFmtId="0" fontId="9" fillId="3" borderId="49" xfId="0" applyFont="1" applyFill="1" applyBorder="1"/>
    <xf numFmtId="0" fontId="0" fillId="3" borderId="65" xfId="0" applyFill="1" applyBorder="1"/>
    <xf numFmtId="0" fontId="9" fillId="3" borderId="53" xfId="0" applyFont="1" applyFill="1" applyBorder="1"/>
    <xf numFmtId="10" fontId="0" fillId="3" borderId="65" xfId="1" applyNumberFormat="1" applyFont="1" applyFill="1" applyBorder="1" applyAlignment="1">
      <alignment horizontal="center" vertical="center"/>
    </xf>
    <xf numFmtId="10" fontId="0" fillId="3" borderId="61" xfId="1" applyNumberFormat="1" applyFont="1" applyFill="1" applyBorder="1" applyAlignment="1">
      <alignment horizontal="center" vertical="center"/>
    </xf>
    <xf numFmtId="10" fontId="0" fillId="3" borderId="55" xfId="1" applyNumberFormat="1" applyFont="1" applyFill="1" applyBorder="1" applyAlignment="1">
      <alignment horizontal="center" vertical="center"/>
    </xf>
    <xf numFmtId="0" fontId="0" fillId="3" borderId="61" xfId="0" applyFill="1" applyBorder="1"/>
    <xf numFmtId="0" fontId="2" fillId="3" borderId="61" xfId="0" applyFont="1" applyFill="1" applyBorder="1"/>
    <xf numFmtId="3" fontId="2" fillId="3" borderId="61" xfId="0" applyNumberFormat="1" applyFont="1" applyFill="1" applyBorder="1"/>
    <xf numFmtId="0" fontId="0" fillId="3" borderId="63" xfId="0" applyFill="1" applyBorder="1"/>
    <xf numFmtId="0" fontId="7" fillId="3" borderId="0" xfId="0" applyFont="1" applyFill="1"/>
    <xf numFmtId="10" fontId="0" fillId="3" borderId="64" xfId="1" applyNumberFormat="1" applyFont="1" applyFill="1" applyBorder="1" applyAlignment="1">
      <alignment horizontal="center" vertical="center"/>
    </xf>
    <xf numFmtId="10" fontId="0" fillId="3" borderId="0" xfId="1" applyNumberFormat="1" applyFont="1" applyFill="1" applyBorder="1" applyAlignment="1">
      <alignment horizontal="center" vertical="center"/>
    </xf>
    <xf numFmtId="10" fontId="0" fillId="3" borderId="11" xfId="1" applyNumberFormat="1" applyFont="1" applyFill="1" applyBorder="1" applyAlignment="1">
      <alignment horizontal="center" vertical="center"/>
    </xf>
    <xf numFmtId="3" fontId="0" fillId="3" borderId="68" xfId="0" applyNumberFormat="1" applyFill="1" applyBorder="1" applyAlignment="1">
      <alignment horizontal="center" vertical="center"/>
    </xf>
    <xf numFmtId="10" fontId="0" fillId="3" borderId="68" xfId="1" applyNumberFormat="1" applyFont="1" applyFill="1" applyBorder="1" applyAlignment="1">
      <alignment horizontal="center" vertical="center"/>
    </xf>
    <xf numFmtId="10" fontId="0" fillId="3" borderId="67" xfId="1" applyNumberFormat="1" applyFont="1" applyFill="1" applyBorder="1" applyAlignment="1">
      <alignment horizontal="center" vertical="center"/>
    </xf>
    <xf numFmtId="0" fontId="0" fillId="3" borderId="66" xfId="0" applyFill="1" applyBorder="1"/>
    <xf numFmtId="0" fontId="0" fillId="3" borderId="69" xfId="0" applyFill="1" applyBorder="1"/>
    <xf numFmtId="0" fontId="10" fillId="3" borderId="51" xfId="0" applyFont="1" applyFill="1" applyBorder="1"/>
    <xf numFmtId="0" fontId="10" fillId="3" borderId="70" xfId="0" applyFont="1" applyFill="1" applyBorder="1"/>
    <xf numFmtId="0" fontId="10" fillId="3" borderId="62" xfId="0" applyFont="1" applyFill="1" applyBorder="1"/>
    <xf numFmtId="0" fontId="10" fillId="3" borderId="71" xfId="0" applyFont="1" applyFill="1" applyBorder="1"/>
    <xf numFmtId="0" fontId="10" fillId="3" borderId="52" xfId="0" applyFont="1" applyFill="1" applyBorder="1"/>
    <xf numFmtId="0" fontId="0" fillId="3" borderId="70" xfId="0" applyFill="1" applyBorder="1"/>
    <xf numFmtId="0" fontId="0" fillId="3" borderId="56" xfId="0" applyFill="1" applyBorder="1"/>
    <xf numFmtId="0" fontId="0" fillId="3" borderId="71" xfId="0" applyFill="1" applyBorder="1"/>
    <xf numFmtId="0" fontId="0" fillId="3" borderId="54" xfId="0" applyFill="1" applyBorder="1"/>
    <xf numFmtId="0" fontId="9" fillId="3" borderId="57" xfId="0" applyFont="1" applyFill="1" applyBorder="1"/>
    <xf numFmtId="0" fontId="9" fillId="3" borderId="50" xfId="0" applyFont="1" applyFill="1" applyBorder="1"/>
    <xf numFmtId="0" fontId="0" fillId="3" borderId="72" xfId="0" applyFill="1" applyBorder="1"/>
    <xf numFmtId="10" fontId="0" fillId="3" borderId="50" xfId="1" applyNumberFormat="1" applyFont="1" applyFill="1" applyBorder="1" applyAlignment="1">
      <alignment horizontal="center" vertical="center"/>
    </xf>
    <xf numFmtId="10" fontId="0" fillId="3" borderId="57" xfId="1" applyNumberFormat="1" applyFont="1" applyFill="1" applyBorder="1" applyAlignment="1">
      <alignment horizontal="center" vertical="center"/>
    </xf>
    <xf numFmtId="10" fontId="0" fillId="3" borderId="52" xfId="1" applyNumberFormat="1" applyFont="1" applyFill="1" applyBorder="1" applyAlignment="1">
      <alignment horizontal="center" vertical="center"/>
    </xf>
    <xf numFmtId="0" fontId="0" fillId="3" borderId="51" xfId="0" applyFill="1" applyBorder="1"/>
    <xf numFmtId="10" fontId="0" fillId="3" borderId="62" xfId="1" applyNumberFormat="1" applyFont="1" applyFill="1" applyBorder="1" applyAlignment="1">
      <alignment horizontal="center" vertical="center"/>
    </xf>
    <xf numFmtId="10" fontId="0" fillId="3" borderId="47" xfId="1" applyNumberFormat="1" applyFont="1" applyFill="1" applyBorder="1" applyAlignment="1">
      <alignment horizontal="center" vertical="center"/>
    </xf>
    <xf numFmtId="0" fontId="0" fillId="3" borderId="68" xfId="0" applyFill="1" applyBorder="1"/>
    <xf numFmtId="3" fontId="0" fillId="3" borderId="7" xfId="0" applyNumberFormat="1" applyFill="1" applyBorder="1" applyAlignment="1">
      <alignment horizontal="center" vertical="center"/>
    </xf>
    <xf numFmtId="10" fontId="0" fillId="3" borderId="8" xfId="1" applyNumberFormat="1" applyFon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22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0" fontId="0" fillId="3" borderId="10" xfId="1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7" fillId="2" borderId="8" xfId="0" applyFont="1" applyFill="1" applyBorder="1"/>
    <xf numFmtId="0" fontId="7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3" fontId="7" fillId="2" borderId="10" xfId="0" applyNumberFormat="1" applyFont="1" applyFill="1" applyBorder="1" applyAlignment="1">
      <alignment horizontal="center" vertical="center"/>
    </xf>
    <xf numFmtId="10" fontId="7" fillId="2" borderId="10" xfId="1" applyNumberFormat="1" applyFont="1" applyFill="1" applyBorder="1" applyAlignment="1">
      <alignment horizontal="center" vertical="center"/>
    </xf>
    <xf numFmtId="10" fontId="7" fillId="2" borderId="2" xfId="1" applyNumberFormat="1" applyFont="1" applyFill="1" applyBorder="1" applyAlignment="1">
      <alignment horizontal="center" vertical="center"/>
    </xf>
    <xf numFmtId="10" fontId="7" fillId="2" borderId="5" xfId="1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7" fillId="2" borderId="10" xfId="0" applyFont="1" applyFill="1" applyBorder="1"/>
    <xf numFmtId="0" fontId="8" fillId="2" borderId="3" xfId="0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center" vertical="center"/>
    </xf>
    <xf numFmtId="10" fontId="8" fillId="2" borderId="4" xfId="1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10" fontId="0" fillId="3" borderId="22" xfId="1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0" fontId="0" fillId="3" borderId="75" xfId="1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0" fontId="8" fillId="2" borderId="3" xfId="0" applyFont="1" applyFill="1" applyBorder="1"/>
    <xf numFmtId="0" fontId="0" fillId="3" borderId="24" xfId="0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3" fontId="0" fillId="3" borderId="17" xfId="0" applyNumberFormat="1" applyFill="1" applyBorder="1" applyAlignment="1">
      <alignment horizontal="center" vertical="center"/>
    </xf>
    <xf numFmtId="10" fontId="0" fillId="3" borderId="17" xfId="1" applyNumberFormat="1" applyFon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0" fontId="2" fillId="3" borderId="10" xfId="0" applyFont="1" applyFill="1" applyBorder="1"/>
    <xf numFmtId="0" fontId="2" fillId="3" borderId="8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2" fillId="3" borderId="9" xfId="0" applyFont="1" applyFill="1" applyBorder="1"/>
    <xf numFmtId="0" fontId="2" fillId="3" borderId="17" xfId="0" applyFont="1" applyFill="1" applyBorder="1"/>
    <xf numFmtId="3" fontId="15" fillId="2" borderId="3" xfId="0" applyNumberFormat="1" applyFont="1" applyFill="1" applyBorder="1" applyAlignment="1">
      <alignment horizontal="center" vertical="center"/>
    </xf>
    <xf numFmtId="3" fontId="15" fillId="2" borderId="26" xfId="0" applyNumberFormat="1" applyFont="1" applyFill="1" applyBorder="1" applyAlignment="1">
      <alignment horizontal="center" vertical="center"/>
    </xf>
    <xf numFmtId="3" fontId="0" fillId="3" borderId="27" xfId="0" applyNumberFormat="1" applyFill="1" applyBorder="1" applyAlignment="1">
      <alignment horizontal="center" vertical="center"/>
    </xf>
    <xf numFmtId="10" fontId="0" fillId="3" borderId="7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0" fontId="1" fillId="3" borderId="24" xfId="1" applyNumberFormat="1" applyFont="1" applyFill="1" applyBorder="1" applyAlignment="1">
      <alignment horizontal="center" vertical="center"/>
    </xf>
    <xf numFmtId="10" fontId="1" fillId="3" borderId="19" xfId="1" applyNumberFormat="1" applyFont="1" applyFill="1" applyBorder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/>
    </xf>
    <xf numFmtId="0" fontId="0" fillId="3" borderId="33" xfId="0" applyFill="1" applyBorder="1"/>
    <xf numFmtId="0" fontId="8" fillId="2" borderId="5" xfId="0" applyFont="1" applyFill="1" applyBorder="1" applyAlignment="1">
      <alignment horizontal="center" vertical="center"/>
    </xf>
    <xf numFmtId="0" fontId="3" fillId="3" borderId="79" xfId="0" applyFont="1" applyFill="1" applyBorder="1"/>
    <xf numFmtId="0" fontId="0" fillId="3" borderId="79" xfId="0" applyFill="1" applyBorder="1"/>
    <xf numFmtId="0" fontId="0" fillId="3" borderId="78" xfId="0" applyFill="1" applyBorder="1"/>
    <xf numFmtId="0" fontId="0" fillId="0" borderId="48" xfId="0" applyBorder="1"/>
    <xf numFmtId="10" fontId="0" fillId="3" borderId="18" xfId="1" applyNumberFormat="1" applyFont="1" applyFill="1" applyBorder="1"/>
    <xf numFmtId="10" fontId="0" fillId="3" borderId="80" xfId="1" applyNumberFormat="1" applyFont="1" applyFill="1" applyBorder="1"/>
    <xf numFmtId="10" fontId="0" fillId="3" borderId="81" xfId="1" applyNumberFormat="1" applyFont="1" applyFill="1" applyBorder="1"/>
    <xf numFmtId="10" fontId="0" fillId="3" borderId="82" xfId="1" applyNumberFormat="1" applyFont="1" applyFill="1" applyBorder="1"/>
    <xf numFmtId="0" fontId="0" fillId="3" borderId="74" xfId="0" applyFill="1" applyBorder="1"/>
    <xf numFmtId="0" fontId="0" fillId="3" borderId="81" xfId="0" applyFill="1" applyBorder="1"/>
    <xf numFmtId="0" fontId="0" fillId="3" borderId="83" xfId="0" applyFill="1" applyBorder="1"/>
    <xf numFmtId="0" fontId="0" fillId="3" borderId="80" xfId="0" applyFill="1" applyBorder="1"/>
    <xf numFmtId="0" fontId="2" fillId="3" borderId="84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10" fontId="0" fillId="3" borderId="86" xfId="1" applyNumberFormat="1" applyFont="1" applyFill="1" applyBorder="1"/>
    <xf numFmtId="10" fontId="0" fillId="3" borderId="30" xfId="1" applyNumberFormat="1" applyFont="1" applyFill="1" applyBorder="1"/>
    <xf numFmtId="10" fontId="0" fillId="3" borderId="76" xfId="1" applyNumberFormat="1" applyFont="1" applyFill="1" applyBorder="1"/>
    <xf numFmtId="10" fontId="7" fillId="3" borderId="68" xfId="1" applyNumberFormat="1" applyFont="1" applyFill="1" applyBorder="1" applyAlignment="1">
      <alignment horizontal="center" vertical="center"/>
    </xf>
    <xf numFmtId="10" fontId="7" fillId="3" borderId="79" xfId="1" applyNumberFormat="1" applyFont="1" applyFill="1" applyBorder="1" applyAlignment="1">
      <alignment horizontal="center" vertical="center"/>
    </xf>
    <xf numFmtId="3" fontId="7" fillId="3" borderId="85" xfId="0" applyNumberFormat="1" applyFont="1" applyFill="1" applyBorder="1" applyAlignment="1">
      <alignment horizontal="center" vertical="center"/>
    </xf>
    <xf numFmtId="10" fontId="9" fillId="3" borderId="89" xfId="1" applyNumberFormat="1" applyFont="1" applyFill="1" applyBorder="1" applyAlignment="1">
      <alignment horizontal="center" vertical="center"/>
    </xf>
    <xf numFmtId="10" fontId="9" fillId="3" borderId="90" xfId="1" applyNumberFormat="1" applyFont="1" applyFill="1" applyBorder="1" applyAlignment="1">
      <alignment horizontal="center" vertical="center"/>
    </xf>
    <xf numFmtId="10" fontId="9" fillId="3" borderId="91" xfId="1" applyNumberFormat="1" applyFont="1" applyFill="1" applyBorder="1" applyAlignment="1">
      <alignment horizontal="center" vertical="center"/>
    </xf>
    <xf numFmtId="10" fontId="9" fillId="3" borderId="92" xfId="1" applyNumberFormat="1" applyFont="1" applyFill="1" applyBorder="1" applyAlignment="1">
      <alignment horizontal="center" vertical="center"/>
    </xf>
    <xf numFmtId="10" fontId="9" fillId="3" borderId="73" xfId="1" applyNumberFormat="1" applyFont="1" applyFill="1" applyBorder="1" applyAlignment="1">
      <alignment horizontal="center" vertical="center"/>
    </xf>
    <xf numFmtId="10" fontId="7" fillId="3" borderId="85" xfId="1" applyNumberFormat="1" applyFont="1" applyFill="1" applyBorder="1" applyAlignment="1">
      <alignment horizontal="center" vertical="center"/>
    </xf>
    <xf numFmtId="3" fontId="15" fillId="2" borderId="85" xfId="0" applyNumberFormat="1" applyFont="1" applyFill="1" applyBorder="1" applyAlignment="1">
      <alignment horizontal="center" vertical="center"/>
    </xf>
    <xf numFmtId="3" fontId="7" fillId="2" borderId="85" xfId="0" applyNumberFormat="1" applyFont="1" applyFill="1" applyBorder="1" applyAlignment="1">
      <alignment horizontal="center" vertical="center"/>
    </xf>
    <xf numFmtId="10" fontId="9" fillId="3" borderId="88" xfId="1" applyNumberFormat="1" applyFont="1" applyFill="1" applyBorder="1" applyAlignment="1">
      <alignment horizontal="center" vertical="center"/>
    </xf>
    <xf numFmtId="10" fontId="9" fillId="3" borderId="13" xfId="1" applyNumberFormat="1" applyFont="1" applyFill="1" applyBorder="1" applyAlignment="1">
      <alignment horizontal="center" vertical="center"/>
    </xf>
    <xf numFmtId="10" fontId="9" fillId="3" borderId="93" xfId="1" applyNumberFormat="1" applyFont="1" applyFill="1" applyBorder="1" applyAlignment="1">
      <alignment horizontal="center" vertical="center"/>
    </xf>
    <xf numFmtId="10" fontId="7" fillId="3" borderId="11" xfId="1" applyNumberFormat="1" applyFont="1" applyFill="1" applyBorder="1" applyAlignment="1">
      <alignment horizontal="center" vertical="center"/>
    </xf>
    <xf numFmtId="10" fontId="7" fillId="3" borderId="77" xfId="1" applyNumberFormat="1" applyFont="1" applyFill="1" applyBorder="1" applyAlignment="1">
      <alignment horizontal="center" vertical="center"/>
    </xf>
    <xf numFmtId="10" fontId="9" fillId="3" borderId="11" xfId="1" applyNumberFormat="1" applyFont="1" applyFill="1" applyBorder="1" applyAlignment="1">
      <alignment horizontal="center" vertical="center"/>
    </xf>
    <xf numFmtId="10" fontId="9" fillId="3" borderId="0" xfId="1" applyNumberFormat="1" applyFont="1" applyFill="1" applyBorder="1" applyAlignment="1">
      <alignment horizontal="center" vertical="center"/>
    </xf>
    <xf numFmtId="10" fontId="9" fillId="3" borderId="12" xfId="0" applyNumberFormat="1" applyFont="1" applyFill="1" applyBorder="1" applyAlignment="1">
      <alignment horizontal="center" vertical="center"/>
    </xf>
    <xf numFmtId="10" fontId="9" fillId="3" borderId="27" xfId="0" applyNumberFormat="1" applyFont="1" applyFill="1" applyBorder="1" applyAlignment="1">
      <alignment horizontal="center" vertical="center"/>
    </xf>
    <xf numFmtId="10" fontId="9" fillId="3" borderId="94" xfId="0" applyNumberFormat="1" applyFont="1" applyFill="1" applyBorder="1" applyAlignment="1">
      <alignment horizontal="center" vertical="center"/>
    </xf>
    <xf numFmtId="10" fontId="7" fillId="3" borderId="31" xfId="0" applyNumberFormat="1" applyFont="1" applyFill="1" applyBorder="1" applyAlignment="1">
      <alignment horizontal="center" vertical="center"/>
    </xf>
    <xf numFmtId="10" fontId="0" fillId="3" borderId="76" xfId="0" applyNumberFormat="1" applyFill="1" applyBorder="1"/>
    <xf numFmtId="10" fontId="0" fillId="3" borderId="86" xfId="0" applyNumberFormat="1" applyFill="1" applyBorder="1"/>
    <xf numFmtId="10" fontId="7" fillId="3" borderId="6" xfId="0" applyNumberFormat="1" applyFont="1" applyFill="1" applyBorder="1" applyAlignment="1">
      <alignment horizontal="center" vertical="center"/>
    </xf>
    <xf numFmtId="10" fontId="0" fillId="3" borderId="30" xfId="0" applyNumberFormat="1" applyFill="1" applyBorder="1"/>
    <xf numFmtId="10" fontId="9" fillId="3" borderId="16" xfId="0" applyNumberFormat="1" applyFont="1" applyFill="1" applyBorder="1" applyAlignment="1">
      <alignment horizontal="center" vertical="center"/>
    </xf>
    <xf numFmtId="10" fontId="7" fillId="2" borderId="26" xfId="0" applyNumberFormat="1" applyFont="1" applyFill="1" applyBorder="1" applyAlignment="1">
      <alignment horizontal="center" vertical="center"/>
    </xf>
    <xf numFmtId="10" fontId="7" fillId="3" borderId="2" xfId="1" applyNumberFormat="1" applyFont="1" applyFill="1" applyBorder="1" applyAlignment="1">
      <alignment horizontal="center" vertical="center"/>
    </xf>
    <xf numFmtId="0" fontId="0" fillId="0" borderId="95" xfId="0" applyBorder="1"/>
    <xf numFmtId="0" fontId="0" fillId="0" borderId="36" xfId="0" applyBorder="1"/>
    <xf numFmtId="0" fontId="0" fillId="0" borderId="47" xfId="0" applyBorder="1"/>
    <xf numFmtId="10" fontId="7" fillId="3" borderId="3" xfId="0" applyNumberFormat="1" applyFont="1" applyFill="1" applyBorder="1" applyAlignment="1">
      <alignment horizontal="center" vertical="center"/>
    </xf>
    <xf numFmtId="10" fontId="9" fillId="3" borderId="8" xfId="0" applyNumberFormat="1" applyFont="1" applyFill="1" applyBorder="1" applyAlignment="1">
      <alignment horizontal="center" vertical="center"/>
    </xf>
    <xf numFmtId="10" fontId="9" fillId="3" borderId="9" xfId="0" applyNumberFormat="1" applyFont="1" applyFill="1" applyBorder="1" applyAlignment="1">
      <alignment horizontal="center" vertical="center"/>
    </xf>
    <xf numFmtId="10" fontId="7" fillId="3" borderId="86" xfId="0" applyNumberFormat="1" applyFont="1" applyFill="1" applyBorder="1" applyAlignment="1">
      <alignment horizontal="center" vertical="center"/>
    </xf>
    <xf numFmtId="10" fontId="7" fillId="3" borderId="96" xfId="0" applyNumberFormat="1" applyFont="1" applyFill="1" applyBorder="1" applyAlignment="1">
      <alignment horizontal="center" vertical="center"/>
    </xf>
    <xf numFmtId="10" fontId="0" fillId="3" borderId="96" xfId="1" applyNumberFormat="1" applyFon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0" xfId="0" applyFill="1" applyBorder="1"/>
    <xf numFmtId="3" fontId="7" fillId="4" borderId="3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0" fontId="0" fillId="3" borderId="17" xfId="0" applyFill="1" applyBorder="1"/>
    <xf numFmtId="0" fontId="0" fillId="3" borderId="27" xfId="0" applyFill="1" applyBorder="1"/>
    <xf numFmtId="3" fontId="0" fillId="3" borderId="29" xfId="0" applyNumberFormat="1" applyFill="1" applyBorder="1" applyAlignment="1">
      <alignment horizontal="center" vertical="center"/>
    </xf>
    <xf numFmtId="3" fontId="7" fillId="4" borderId="10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" fillId="3" borderId="38" xfId="0" applyFont="1" applyFill="1" applyBorder="1"/>
    <xf numFmtId="0" fontId="2" fillId="3" borderId="31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2" fillId="2" borderId="10" xfId="0" applyFont="1" applyFill="1" applyBorder="1"/>
    <xf numFmtId="3" fontId="2" fillId="2" borderId="10" xfId="0" applyNumberFormat="1" applyFont="1" applyFill="1" applyBorder="1" applyAlignment="1">
      <alignment horizontal="center" vertical="center"/>
    </xf>
    <xf numFmtId="3" fontId="12" fillId="4" borderId="3" xfId="0" applyNumberFormat="1" applyFont="1" applyFill="1" applyBorder="1" applyAlignment="1">
      <alignment horizontal="center" vertical="center"/>
    </xf>
    <xf numFmtId="10" fontId="13" fillId="4" borderId="3" xfId="1" applyNumberFormat="1" applyFont="1" applyFill="1" applyBorder="1" applyAlignment="1">
      <alignment horizontal="center" vertical="center"/>
    </xf>
    <xf numFmtId="10" fontId="13" fillId="4" borderId="26" xfId="1" applyNumberFormat="1" applyFont="1" applyFill="1" applyBorder="1" applyAlignment="1">
      <alignment horizontal="center" vertical="center"/>
    </xf>
    <xf numFmtId="10" fontId="13" fillId="4" borderId="6" xfId="1" applyNumberFormat="1" applyFont="1" applyFill="1" applyBorder="1" applyAlignment="1">
      <alignment horizontal="center" vertical="center"/>
    </xf>
    <xf numFmtId="10" fontId="13" fillId="4" borderId="3" xfId="0" applyNumberFormat="1" applyFont="1" applyFill="1" applyBorder="1" applyAlignment="1">
      <alignment horizontal="center" vertical="center"/>
    </xf>
    <xf numFmtId="10" fontId="13" fillId="4" borderId="26" xfId="0" applyNumberFormat="1" applyFont="1" applyFill="1" applyBorder="1" applyAlignment="1">
      <alignment horizontal="center" vertical="center"/>
    </xf>
    <xf numFmtId="10" fontId="13" fillId="4" borderId="4" xfId="1" applyNumberFormat="1" applyFont="1" applyFill="1" applyBorder="1" applyAlignment="1">
      <alignment horizontal="center" vertical="center"/>
    </xf>
    <xf numFmtId="10" fontId="0" fillId="3" borderId="58" xfId="1" applyNumberFormat="1" applyFont="1" applyFill="1" applyBorder="1" applyAlignment="1">
      <alignment horizontal="center" vertical="center"/>
    </xf>
    <xf numFmtId="0" fontId="0" fillId="3" borderId="97" xfId="0" applyFill="1" applyBorder="1"/>
    <xf numFmtId="0" fontId="9" fillId="0" borderId="30" xfId="0" applyFont="1" applyBorder="1"/>
    <xf numFmtId="0" fontId="9" fillId="3" borderId="98" xfId="0" applyFont="1" applyFill="1" applyBorder="1"/>
    <xf numFmtId="3" fontId="0" fillId="3" borderId="78" xfId="0" applyNumberFormat="1" applyFill="1" applyBorder="1" applyAlignment="1">
      <alignment horizontal="center" vertical="center"/>
    </xf>
    <xf numFmtId="0" fontId="0" fillId="3" borderId="99" xfId="0" applyFill="1" applyBorder="1"/>
    <xf numFmtId="10" fontId="0" fillId="3" borderId="83" xfId="1" applyNumberFormat="1" applyFont="1" applyFill="1" applyBorder="1" applyAlignment="1">
      <alignment horizontal="center" vertical="center"/>
    </xf>
    <xf numFmtId="10" fontId="0" fillId="3" borderId="100" xfId="1" applyNumberFormat="1" applyFont="1" applyFill="1" applyBorder="1" applyAlignment="1">
      <alignment horizontal="center" vertical="center"/>
    </xf>
    <xf numFmtId="0" fontId="0" fillId="3" borderId="98" xfId="0" applyFill="1" applyBorder="1"/>
    <xf numFmtId="3" fontId="2" fillId="3" borderId="97" xfId="0" applyNumberFormat="1" applyFont="1" applyFill="1" applyBorder="1"/>
    <xf numFmtId="0" fontId="10" fillId="3" borderId="48" xfId="0" applyFont="1" applyFill="1" applyBorder="1"/>
    <xf numFmtId="0" fontId="10" fillId="3" borderId="99" xfId="0" applyFont="1" applyFill="1" applyBorder="1"/>
    <xf numFmtId="0" fontId="0" fillId="0" borderId="102" xfId="0" applyBorder="1"/>
    <xf numFmtId="0" fontId="0" fillId="0" borderId="101" xfId="0" applyBorder="1"/>
    <xf numFmtId="0" fontId="7" fillId="3" borderId="2" xfId="0" applyFont="1" applyFill="1" applyBorder="1"/>
    <xf numFmtId="0" fontId="6" fillId="3" borderId="103" xfId="0" applyFont="1" applyFill="1" applyBorder="1"/>
    <xf numFmtId="0" fontId="9" fillId="3" borderId="34" xfId="0" applyFont="1" applyFill="1" applyBorder="1"/>
    <xf numFmtId="0" fontId="6" fillId="3" borderId="36" xfId="0" applyFont="1" applyFill="1" applyBorder="1"/>
    <xf numFmtId="0" fontId="0" fillId="3" borderId="95" xfId="0" applyFill="1" applyBorder="1"/>
    <xf numFmtId="0" fontId="5" fillId="3" borderId="36" xfId="0" applyFont="1" applyFill="1" applyBorder="1"/>
    <xf numFmtId="0" fontId="7" fillId="3" borderId="34" xfId="0" applyFont="1" applyFill="1" applyBorder="1"/>
    <xf numFmtId="0" fontId="0" fillId="3" borderId="104" xfId="0" applyFill="1" applyBorder="1"/>
    <xf numFmtId="10" fontId="0" fillId="3" borderId="34" xfId="1" applyNumberFormat="1" applyFont="1" applyFill="1" applyBorder="1" applyAlignment="1">
      <alignment horizontal="center" vertical="center"/>
    </xf>
    <xf numFmtId="0" fontId="0" fillId="3" borderId="86" xfId="0" applyFill="1" applyBorder="1"/>
    <xf numFmtId="10" fontId="0" fillId="3" borderId="86" xfId="1" applyNumberFormat="1" applyFont="1" applyFill="1" applyBorder="1" applyAlignment="1">
      <alignment horizontal="center" vertical="center"/>
    </xf>
    <xf numFmtId="10" fontId="0" fillId="3" borderId="76" xfId="1" applyNumberFormat="1" applyFont="1" applyFill="1" applyBorder="1" applyAlignment="1">
      <alignment horizontal="center" vertical="center"/>
    </xf>
    <xf numFmtId="10" fontId="0" fillId="3" borderId="33" xfId="1" applyNumberFormat="1" applyFont="1" applyFill="1" applyBorder="1" applyAlignment="1">
      <alignment horizontal="center" vertical="center"/>
    </xf>
    <xf numFmtId="10" fontId="0" fillId="3" borderId="35" xfId="1" applyNumberFormat="1" applyFont="1" applyFill="1" applyBorder="1" applyAlignment="1">
      <alignment horizontal="center" vertical="center"/>
    </xf>
    <xf numFmtId="10" fontId="0" fillId="3" borderId="36" xfId="1" applyNumberFormat="1" applyFont="1" applyFill="1" applyBorder="1" applyAlignment="1">
      <alignment horizontal="center" vertical="center"/>
    </xf>
    <xf numFmtId="0" fontId="9" fillId="3" borderId="35" xfId="0" applyFont="1" applyFill="1" applyBorder="1"/>
    <xf numFmtId="0" fontId="9" fillId="3" borderId="40" xfId="0" applyFont="1" applyFill="1" applyBorder="1"/>
    <xf numFmtId="0" fontId="0" fillId="0" borderId="105" xfId="0" applyBorder="1"/>
    <xf numFmtId="14" fontId="8" fillId="2" borderId="106" xfId="0" applyNumberFormat="1" applyFont="1" applyFill="1" applyBorder="1" applyAlignment="1">
      <alignment horizontal="center" vertical="center"/>
    </xf>
    <xf numFmtId="0" fontId="0" fillId="3" borderId="108" xfId="0" applyFill="1" applyBorder="1"/>
    <xf numFmtId="0" fontId="0" fillId="0" borderId="80" xfId="0" applyBorder="1"/>
    <xf numFmtId="10" fontId="0" fillId="3" borderId="109" xfId="1" applyNumberFormat="1" applyFont="1" applyFill="1" applyBorder="1"/>
    <xf numFmtId="0" fontId="0" fillId="0" borderId="109" xfId="0" applyBorder="1"/>
    <xf numFmtId="10" fontId="0" fillId="3" borderId="62" xfId="1" applyNumberFormat="1" applyFont="1" applyFill="1" applyBorder="1"/>
    <xf numFmtId="10" fontId="7" fillId="3" borderId="64" xfId="1" applyNumberFormat="1" applyFont="1" applyFill="1" applyBorder="1" applyAlignment="1">
      <alignment horizontal="center" vertical="center"/>
    </xf>
    <xf numFmtId="0" fontId="0" fillId="3" borderId="110" xfId="0" applyFill="1" applyBorder="1"/>
    <xf numFmtId="0" fontId="0" fillId="3" borderId="111" xfId="0" applyFill="1" applyBorder="1"/>
    <xf numFmtId="0" fontId="0" fillId="0" borderId="113" xfId="0" applyBorder="1"/>
    <xf numFmtId="0" fontId="0" fillId="0" borderId="112" xfId="0" applyBorder="1"/>
    <xf numFmtId="0" fontId="7" fillId="2" borderId="85" xfId="0" applyFont="1" applyFill="1" applyBorder="1"/>
    <xf numFmtId="0" fontId="2" fillId="3" borderId="121" xfId="0" applyFont="1" applyFill="1" applyBorder="1"/>
    <xf numFmtId="0" fontId="0" fillId="3" borderId="122" xfId="0" applyFill="1" applyBorder="1"/>
    <xf numFmtId="0" fontId="2" fillId="3" borderId="75" xfId="0" applyFont="1" applyFill="1" applyBorder="1" applyAlignment="1">
      <alignment horizontal="left" vertical="center"/>
    </xf>
    <xf numFmtId="0" fontId="2" fillId="3" borderId="107" xfId="0" applyFont="1" applyFill="1" applyBorder="1" applyAlignment="1">
      <alignment horizontal="left" vertical="center"/>
    </xf>
    <xf numFmtId="0" fontId="2" fillId="3" borderId="123" xfId="0" applyFont="1" applyFill="1" applyBorder="1" applyAlignment="1">
      <alignment horizontal="left" vertical="center"/>
    </xf>
    <xf numFmtId="0" fontId="7" fillId="2" borderId="85" xfId="0" applyFont="1" applyFill="1" applyBorder="1" applyAlignment="1">
      <alignment horizontal="left" vertical="center"/>
    </xf>
    <xf numFmtId="0" fontId="2" fillId="3" borderId="75" xfId="0" applyFont="1" applyFill="1" applyBorder="1"/>
    <xf numFmtId="0" fontId="2" fillId="3" borderId="107" xfId="0" applyFont="1" applyFill="1" applyBorder="1"/>
    <xf numFmtId="0" fontId="2" fillId="3" borderId="124" xfId="0" applyFont="1" applyFill="1" applyBorder="1"/>
    <xf numFmtId="0" fontId="0" fillId="3" borderId="125" xfId="0" applyFill="1" applyBorder="1"/>
    <xf numFmtId="0" fontId="12" fillId="4" borderId="85" xfId="0" applyFont="1" applyFill="1" applyBorder="1" applyAlignment="1">
      <alignment horizontal="left" vertical="center"/>
    </xf>
    <xf numFmtId="0" fontId="0" fillId="3" borderId="126" xfId="0" applyFill="1" applyBorder="1"/>
    <xf numFmtId="0" fontId="2" fillId="2" borderId="127" xfId="0" applyFont="1" applyFill="1" applyBorder="1"/>
    <xf numFmtId="0" fontId="2" fillId="2" borderId="85" xfId="0" applyFont="1" applyFill="1" applyBorder="1"/>
    <xf numFmtId="10" fontId="7" fillId="2" borderId="121" xfId="1" applyNumberFormat="1" applyFont="1" applyFill="1" applyBorder="1" applyAlignment="1">
      <alignment horizontal="center" vertical="center"/>
    </xf>
    <xf numFmtId="10" fontId="9" fillId="3" borderId="2" xfId="1" applyNumberFormat="1" applyFont="1" applyFill="1" applyBorder="1" applyAlignment="1">
      <alignment horizontal="center" vertical="center"/>
    </xf>
    <xf numFmtId="10" fontId="9" fillId="3" borderId="128" xfId="1" applyNumberFormat="1" applyFont="1" applyFill="1" applyBorder="1" applyAlignment="1">
      <alignment horizontal="center" vertical="center"/>
    </xf>
    <xf numFmtId="10" fontId="7" fillId="3" borderId="79" xfId="0" applyNumberFormat="1" applyFont="1" applyFill="1" applyBorder="1" applyAlignment="1">
      <alignment horizontal="center" vertical="center"/>
    </xf>
    <xf numFmtId="10" fontId="7" fillId="3" borderId="129" xfId="0" applyNumberFormat="1" applyFont="1" applyFill="1" applyBorder="1" applyAlignment="1">
      <alignment horizontal="center" vertical="center"/>
    </xf>
    <xf numFmtId="10" fontId="7" fillId="3" borderId="87" xfId="0" applyNumberFormat="1" applyFont="1" applyFill="1" applyBorder="1" applyAlignment="1">
      <alignment horizontal="center" vertical="center"/>
    </xf>
    <xf numFmtId="10" fontId="9" fillId="3" borderId="92" xfId="0" applyNumberFormat="1" applyFont="1" applyFill="1" applyBorder="1" applyAlignment="1">
      <alignment horizontal="center" vertical="center"/>
    </xf>
    <xf numFmtId="10" fontId="9" fillId="3" borderId="90" xfId="0" applyNumberFormat="1" applyFont="1" applyFill="1" applyBorder="1" applyAlignment="1">
      <alignment horizontal="center" vertical="center"/>
    </xf>
    <xf numFmtId="10" fontId="9" fillId="3" borderId="130" xfId="0" applyNumberFormat="1" applyFont="1" applyFill="1" applyBorder="1" applyAlignment="1">
      <alignment horizontal="center" vertical="center"/>
    </xf>
    <xf numFmtId="10" fontId="0" fillId="3" borderId="78" xfId="0" applyNumberFormat="1" applyFill="1" applyBorder="1"/>
    <xf numFmtId="10" fontId="9" fillId="3" borderId="93" xfId="0" applyNumberFormat="1" applyFont="1" applyFill="1" applyBorder="1" applyAlignment="1">
      <alignment horizontal="center" vertical="center"/>
    </xf>
    <xf numFmtId="10" fontId="9" fillId="3" borderId="128" xfId="0" applyNumberFormat="1" applyFont="1" applyFill="1" applyBorder="1" applyAlignment="1">
      <alignment horizontal="center" vertical="center"/>
    </xf>
    <xf numFmtId="3" fontId="14" fillId="3" borderId="24" xfId="0" applyNumberFormat="1" applyFont="1" applyFill="1" applyBorder="1" applyAlignment="1">
      <alignment horizontal="center" vertical="center"/>
    </xf>
    <xf numFmtId="10" fontId="9" fillId="3" borderId="89" xfId="0" applyNumberFormat="1" applyFont="1" applyFill="1" applyBorder="1" applyAlignment="1">
      <alignment horizontal="center" vertical="center"/>
    </xf>
    <xf numFmtId="10" fontId="9" fillId="3" borderId="91" xfId="0" applyNumberFormat="1" applyFont="1" applyFill="1" applyBorder="1" applyAlignment="1">
      <alignment horizontal="center" vertical="center"/>
    </xf>
    <xf numFmtId="10" fontId="9" fillId="3" borderId="130" xfId="1" applyNumberFormat="1" applyFont="1" applyFill="1" applyBorder="1" applyAlignment="1">
      <alignment horizontal="center" vertical="center"/>
    </xf>
    <xf numFmtId="10" fontId="7" fillId="3" borderId="82" xfId="1" applyNumberFormat="1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0" fontId="1" fillId="3" borderId="131" xfId="1" applyNumberFormat="1" applyFont="1" applyFill="1" applyBorder="1" applyAlignment="1">
      <alignment horizontal="center" vertical="center"/>
    </xf>
    <xf numFmtId="10" fontId="1" fillId="3" borderId="132" xfId="1" applyNumberFormat="1" applyFont="1" applyFill="1" applyBorder="1" applyAlignment="1">
      <alignment horizontal="center" vertical="center"/>
    </xf>
    <xf numFmtId="10" fontId="9" fillId="3" borderId="134" xfId="1" applyNumberFormat="1" applyFont="1" applyFill="1" applyBorder="1" applyAlignment="1">
      <alignment horizontal="center" vertical="center"/>
    </xf>
    <xf numFmtId="10" fontId="9" fillId="3" borderId="133" xfId="1" applyNumberFormat="1" applyFont="1" applyFill="1" applyBorder="1" applyAlignment="1">
      <alignment horizontal="center" vertical="center"/>
    </xf>
    <xf numFmtId="10" fontId="1" fillId="3" borderId="78" xfId="1" applyNumberFormat="1" applyFont="1" applyFill="1" applyBorder="1"/>
    <xf numFmtId="10" fontId="7" fillId="3" borderId="47" xfId="1" applyNumberFormat="1" applyFont="1" applyFill="1" applyBorder="1" applyAlignment="1">
      <alignment horizontal="center" vertical="center"/>
    </xf>
    <xf numFmtId="10" fontId="7" fillId="3" borderId="129" xfId="1" applyNumberFormat="1" applyFont="1" applyFill="1" applyBorder="1" applyAlignment="1">
      <alignment horizontal="center" vertical="center"/>
    </xf>
    <xf numFmtId="10" fontId="7" fillId="3" borderId="55" xfId="1" applyNumberFormat="1" applyFont="1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10" fontId="9" fillId="3" borderId="12" xfId="1" applyNumberFormat="1" applyFont="1" applyFill="1" applyBorder="1" applyAlignment="1">
      <alignment horizontal="center" vertical="center"/>
    </xf>
    <xf numFmtId="10" fontId="9" fillId="3" borderId="135" xfId="1" applyNumberFormat="1" applyFont="1" applyFill="1" applyBorder="1" applyAlignment="1">
      <alignment horizontal="center" vertical="center"/>
    </xf>
    <xf numFmtId="10" fontId="9" fillId="3" borderId="14" xfId="1" applyNumberFormat="1" applyFont="1" applyFill="1" applyBorder="1" applyAlignment="1">
      <alignment horizontal="center" vertical="center"/>
    </xf>
    <xf numFmtId="10" fontId="9" fillId="3" borderId="30" xfId="1" applyNumberFormat="1" applyFont="1" applyFill="1" applyBorder="1"/>
    <xf numFmtId="10" fontId="7" fillId="3" borderId="63" xfId="1" applyNumberFormat="1" applyFont="1" applyFill="1" applyBorder="1" applyAlignment="1">
      <alignment horizontal="center" vertical="center"/>
    </xf>
    <xf numFmtId="10" fontId="7" fillId="3" borderId="136" xfId="1" applyNumberFormat="1" applyFont="1" applyFill="1" applyBorder="1" applyAlignment="1">
      <alignment horizontal="center" vertical="center"/>
    </xf>
    <xf numFmtId="10" fontId="7" fillId="3" borderId="61" xfId="1" applyNumberFormat="1" applyFont="1" applyFill="1" applyBorder="1" applyAlignment="1">
      <alignment horizontal="center" vertical="center"/>
    </xf>
    <xf numFmtId="10" fontId="9" fillId="3" borderId="127" xfId="1" applyNumberFormat="1" applyFont="1" applyFill="1" applyBorder="1" applyAlignment="1">
      <alignment horizontal="center" vertical="center"/>
    </xf>
    <xf numFmtId="10" fontId="9" fillId="3" borderId="137" xfId="1" applyNumberFormat="1" applyFont="1" applyFill="1" applyBorder="1" applyAlignment="1">
      <alignment horizontal="center" vertical="center"/>
    </xf>
    <xf numFmtId="10" fontId="9" fillId="3" borderId="124" xfId="1" applyNumberFormat="1" applyFont="1" applyFill="1" applyBorder="1" applyAlignment="1">
      <alignment horizontal="center" vertical="center"/>
    </xf>
    <xf numFmtId="10" fontId="7" fillId="2" borderId="85" xfId="1" applyNumberFormat="1" applyFont="1" applyFill="1" applyBorder="1" applyAlignment="1">
      <alignment horizontal="center" vertical="center"/>
    </xf>
    <xf numFmtId="10" fontId="13" fillId="4" borderId="85" xfId="1" applyNumberFormat="1" applyFont="1" applyFill="1" applyBorder="1" applyAlignment="1">
      <alignment horizontal="center" vertical="center"/>
    </xf>
    <xf numFmtId="0" fontId="0" fillId="0" borderId="114" xfId="0" applyBorder="1"/>
    <xf numFmtId="0" fontId="8" fillId="2" borderId="26" xfId="0" applyFont="1" applyFill="1" applyBorder="1" applyAlignment="1">
      <alignment horizontal="center" vertical="center"/>
    </xf>
    <xf numFmtId="0" fontId="2" fillId="3" borderId="47" xfId="0" applyFont="1" applyFill="1" applyBorder="1"/>
    <xf numFmtId="0" fontId="2" fillId="3" borderId="68" xfId="0" applyFont="1" applyFill="1" applyBorder="1"/>
    <xf numFmtId="0" fontId="0" fillId="3" borderId="85" xfId="0" applyFill="1" applyBorder="1"/>
    <xf numFmtId="0" fontId="7" fillId="2" borderId="125" xfId="0" applyFont="1" applyFill="1" applyBorder="1"/>
    <xf numFmtId="0" fontId="7" fillId="4" borderId="85" xfId="0" applyFont="1" applyFill="1" applyBorder="1"/>
    <xf numFmtId="0" fontId="2" fillId="2" borderId="125" xfId="0" applyFont="1" applyFill="1" applyBorder="1"/>
    <xf numFmtId="0" fontId="2" fillId="3" borderId="123" xfId="0" applyFont="1" applyFill="1" applyBorder="1"/>
    <xf numFmtId="0" fontId="2" fillId="3" borderId="138" xfId="0" applyFont="1" applyFill="1" applyBorder="1"/>
    <xf numFmtId="0" fontId="7" fillId="2" borderId="121" xfId="0" applyFont="1" applyFill="1" applyBorder="1"/>
    <xf numFmtId="0" fontId="2" fillId="4" borderId="124" xfId="0" applyFont="1" applyFill="1" applyBorder="1"/>
    <xf numFmtId="0" fontId="2" fillId="2" borderId="124" xfId="0" applyFont="1" applyFill="1" applyBorder="1"/>
    <xf numFmtId="0" fontId="0" fillId="0" borderId="144" xfId="0" applyBorder="1"/>
    <xf numFmtId="0" fontId="0" fillId="0" borderId="145" xfId="0" applyBorder="1"/>
    <xf numFmtId="0" fontId="0" fillId="0" borderId="143" xfId="0" applyBorder="1"/>
    <xf numFmtId="3" fontId="0" fillId="0" borderId="144" xfId="0" applyNumberFormat="1" applyBorder="1"/>
    <xf numFmtId="10" fontId="2" fillId="0" borderId="144" xfId="1" applyNumberFormat="1" applyFont="1" applyBorder="1"/>
    <xf numFmtId="0" fontId="0" fillId="0" borderId="147" xfId="0" applyBorder="1"/>
    <xf numFmtId="0" fontId="0" fillId="0" borderId="148" xfId="0" applyBorder="1"/>
    <xf numFmtId="0" fontId="12" fillId="0" borderId="146" xfId="0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0" fillId="3" borderId="149" xfId="0" applyFill="1" applyBorder="1"/>
    <xf numFmtId="0" fontId="7" fillId="2" borderId="3" xfId="0" applyFont="1" applyFill="1" applyBorder="1" applyAlignment="1">
      <alignment vertical="center"/>
    </xf>
    <xf numFmtId="0" fontId="0" fillId="3" borderId="26" xfId="0" applyFill="1" applyBorder="1"/>
    <xf numFmtId="0" fontId="2" fillId="3" borderId="26" xfId="0" applyFont="1" applyFill="1" applyBorder="1"/>
    <xf numFmtId="0" fontId="0" fillId="3" borderId="150" xfId="0" applyFill="1" applyBorder="1"/>
    <xf numFmtId="0" fontId="2" fillId="3" borderId="151" xfId="0" applyFont="1" applyFill="1" applyBorder="1"/>
    <xf numFmtId="0" fontId="2" fillId="3" borderId="94" xfId="0" applyFont="1" applyFill="1" applyBorder="1"/>
    <xf numFmtId="0" fontId="0" fillId="3" borderId="12" xfId="0" applyFill="1" applyBorder="1"/>
    <xf numFmtId="3" fontId="14" fillId="3" borderId="19" xfId="0" applyNumberFormat="1" applyFont="1" applyFill="1" applyBorder="1" applyAlignment="1">
      <alignment horizontal="center" vertical="center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17" xfId="0" applyNumberFormat="1" applyFont="1" applyFill="1" applyBorder="1" applyAlignment="1">
      <alignment horizontal="center" vertical="center"/>
    </xf>
    <xf numFmtId="0" fontId="14" fillId="0" borderId="0" xfId="0" applyFont="1"/>
    <xf numFmtId="3" fontId="14" fillId="3" borderId="10" xfId="0" applyNumberFormat="1" applyFont="1" applyFill="1" applyBorder="1" applyAlignment="1">
      <alignment horizontal="center" vertical="center"/>
    </xf>
    <xf numFmtId="3" fontId="14" fillId="3" borderId="20" xfId="0" applyNumberFormat="1" applyFont="1" applyFill="1" applyBorder="1" applyAlignment="1">
      <alignment horizontal="center" vertical="center"/>
    </xf>
    <xf numFmtId="3" fontId="14" fillId="3" borderId="22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" fillId="3" borderId="137" xfId="0" applyFont="1" applyFill="1" applyBorder="1"/>
    <xf numFmtId="3" fontId="17" fillId="2" borderId="3" xfId="0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0" xfId="0" applyAlignment="1">
      <alignment vertical="center"/>
    </xf>
    <xf numFmtId="0" fontId="0" fillId="0" borderId="1" xfId="0" applyBorder="1"/>
    <xf numFmtId="0" fontId="7" fillId="9" borderId="14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 wrapText="1"/>
    </xf>
    <xf numFmtId="0" fontId="0" fillId="0" borderId="6" xfId="0" applyBorder="1"/>
    <xf numFmtId="0" fontId="12" fillId="4" borderId="26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10" fontId="10" fillId="7" borderId="160" xfId="0" applyNumberFormat="1" applyFont="1" applyFill="1" applyBorder="1" applyAlignment="1">
      <alignment horizontal="center" vertical="center"/>
    </xf>
    <xf numFmtId="10" fontId="10" fillId="7" borderId="167" xfId="0" applyNumberFormat="1" applyFont="1" applyFill="1" applyBorder="1" applyAlignment="1">
      <alignment horizontal="center" vertical="center"/>
    </xf>
    <xf numFmtId="10" fontId="10" fillId="7" borderId="161" xfId="0" applyNumberFormat="1" applyFont="1" applyFill="1" applyBorder="1" applyAlignment="1">
      <alignment horizontal="center" vertical="center"/>
    </xf>
    <xf numFmtId="10" fontId="10" fillId="7" borderId="165" xfId="0" applyNumberFormat="1" applyFont="1" applyFill="1" applyBorder="1" applyAlignment="1">
      <alignment horizontal="center" vertical="center"/>
    </xf>
    <xf numFmtId="10" fontId="10" fillId="7" borderId="169" xfId="0" applyNumberFormat="1" applyFont="1" applyFill="1" applyBorder="1" applyAlignment="1">
      <alignment horizontal="center" vertical="center"/>
    </xf>
    <xf numFmtId="10" fontId="10" fillId="7" borderId="170" xfId="0" applyNumberFormat="1" applyFont="1" applyFill="1" applyBorder="1" applyAlignment="1">
      <alignment horizontal="center" vertical="center"/>
    </xf>
    <xf numFmtId="10" fontId="10" fillId="7" borderId="0" xfId="0" applyNumberFormat="1" applyFont="1" applyFill="1" applyAlignment="1">
      <alignment horizontal="center" vertical="center"/>
    </xf>
    <xf numFmtId="10" fontId="10" fillId="7" borderId="163" xfId="0" applyNumberFormat="1" applyFont="1" applyFill="1" applyBorder="1" applyAlignment="1">
      <alignment horizontal="center" vertical="center"/>
    </xf>
    <xf numFmtId="10" fontId="10" fillId="7" borderId="162" xfId="0" applyNumberFormat="1" applyFont="1" applyFill="1" applyBorder="1" applyAlignment="1">
      <alignment horizontal="center" vertical="center"/>
    </xf>
    <xf numFmtId="10" fontId="10" fillId="7" borderId="173" xfId="0" applyNumberFormat="1" applyFont="1" applyFill="1" applyBorder="1" applyAlignment="1">
      <alignment horizontal="center" vertical="center"/>
    </xf>
    <xf numFmtId="10" fontId="10" fillId="7" borderId="171" xfId="0" applyNumberFormat="1" applyFont="1" applyFill="1" applyBorder="1" applyAlignment="1">
      <alignment horizontal="center" vertical="center"/>
    </xf>
    <xf numFmtId="10" fontId="10" fillId="7" borderId="172" xfId="0" applyNumberFormat="1" applyFont="1" applyFill="1" applyBorder="1" applyAlignment="1">
      <alignment horizontal="center" vertical="center"/>
    </xf>
    <xf numFmtId="10" fontId="22" fillId="7" borderId="160" xfId="0" applyNumberFormat="1" applyFont="1" applyFill="1" applyBorder="1" applyAlignment="1">
      <alignment horizontal="center" vertical="center"/>
    </xf>
    <xf numFmtId="166" fontId="10" fillId="7" borderId="12" xfId="0" applyNumberFormat="1" applyFont="1" applyFill="1" applyBorder="1" applyAlignment="1">
      <alignment horizontal="center" vertical="center"/>
    </xf>
    <xf numFmtId="166" fontId="10" fillId="7" borderId="164" xfId="0" applyNumberFormat="1" applyFont="1" applyFill="1" applyBorder="1" applyAlignment="1">
      <alignment horizontal="center" vertical="center"/>
    </xf>
    <xf numFmtId="166" fontId="10" fillId="7" borderId="168" xfId="0" applyNumberFormat="1" applyFont="1" applyFill="1" applyBorder="1" applyAlignment="1">
      <alignment horizontal="center" vertical="center"/>
    </xf>
    <xf numFmtId="166" fontId="22" fillId="7" borderId="160" xfId="0" applyNumberFormat="1" applyFont="1" applyFill="1" applyBorder="1" applyAlignment="1">
      <alignment horizontal="center" vertical="center"/>
    </xf>
    <xf numFmtId="166" fontId="10" fillId="7" borderId="165" xfId="0" applyNumberFormat="1" applyFont="1" applyFill="1" applyBorder="1" applyAlignment="1">
      <alignment horizontal="center" vertical="center"/>
    </xf>
    <xf numFmtId="166" fontId="10" fillId="7" borderId="169" xfId="0" applyNumberFormat="1" applyFont="1" applyFill="1" applyBorder="1" applyAlignment="1">
      <alignment horizontal="center" vertical="center"/>
    </xf>
    <xf numFmtId="166" fontId="10" fillId="7" borderId="166" xfId="0" applyNumberFormat="1" applyFont="1" applyFill="1" applyBorder="1" applyAlignment="1">
      <alignment horizontal="center" vertical="center"/>
    </xf>
    <xf numFmtId="166" fontId="10" fillId="7" borderId="162" xfId="0" applyNumberFormat="1" applyFont="1" applyFill="1" applyBorder="1" applyAlignment="1">
      <alignment horizontal="center" vertical="center"/>
    </xf>
    <xf numFmtId="166" fontId="10" fillId="7" borderId="161" xfId="0" applyNumberFormat="1" applyFont="1" applyFill="1" applyBorder="1" applyAlignment="1">
      <alignment horizontal="center" vertical="center"/>
    </xf>
    <xf numFmtId="166" fontId="10" fillId="7" borderId="0" xfId="0" applyNumberFormat="1" applyFont="1" applyFill="1" applyAlignment="1">
      <alignment horizontal="center" vertical="center"/>
    </xf>
    <xf numFmtId="166" fontId="10" fillId="7" borderId="160" xfId="0" applyNumberFormat="1" applyFont="1" applyFill="1" applyBorder="1" applyAlignment="1">
      <alignment horizontal="center" vertical="center"/>
    </xf>
    <xf numFmtId="166" fontId="0" fillId="0" borderId="0" xfId="0" applyNumberFormat="1"/>
    <xf numFmtId="2" fontId="0" fillId="0" borderId="0" xfId="0" applyNumberFormat="1"/>
    <xf numFmtId="0" fontId="0" fillId="0" borderId="8" xfId="0" applyBorder="1"/>
    <xf numFmtId="3" fontId="0" fillId="0" borderId="3" xfId="0" applyNumberFormat="1" applyBorder="1" applyAlignment="1">
      <alignment horizontal="center" vertical="center"/>
    </xf>
    <xf numFmtId="0" fontId="0" fillId="0" borderId="3" xfId="0" applyBorder="1"/>
    <xf numFmtId="3" fontId="0" fillId="0" borderId="4" xfId="0" applyNumberForma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10" fontId="15" fillId="0" borderId="3" xfId="0" applyNumberFormat="1" applyFont="1" applyBorder="1" applyAlignment="1">
      <alignment horizontal="center" vertical="center"/>
    </xf>
    <xf numFmtId="10" fontId="15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7" fillId="0" borderId="9" xfId="0" applyNumberFormat="1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10" fontId="15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3" fontId="0" fillId="0" borderId="12" xfId="0" applyNumberFormat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10" fontId="7" fillId="0" borderId="10" xfId="0" applyNumberFormat="1" applyFont="1" applyBorder="1" applyAlignment="1">
      <alignment horizontal="center" vertical="center"/>
    </xf>
    <xf numFmtId="10" fontId="7" fillId="0" borderId="26" xfId="0" applyNumberFormat="1" applyFont="1" applyBorder="1" applyAlignment="1">
      <alignment horizontal="center" vertical="center"/>
    </xf>
    <xf numFmtId="10" fontId="15" fillId="0" borderId="9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0" fontId="15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0" fillId="0" borderId="26" xfId="0" applyBorder="1"/>
    <xf numFmtId="0" fontId="0" fillId="0" borderId="2" xfId="0" applyBorder="1"/>
    <xf numFmtId="0" fontId="0" fillId="0" borderId="10" xfId="0" applyBorder="1"/>
    <xf numFmtId="0" fontId="7" fillId="0" borderId="6" xfId="0" applyFont="1" applyBorder="1" applyAlignment="1">
      <alignment vertical="center"/>
    </xf>
    <xf numFmtId="0" fontId="0" fillId="0" borderId="27" xfId="0" applyBorder="1"/>
    <xf numFmtId="0" fontId="0" fillId="0" borderId="15" xfId="0" applyBorder="1"/>
    <xf numFmtId="0" fontId="0" fillId="0" borderId="27" xfId="0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24" xfId="0" applyBorder="1"/>
    <xf numFmtId="0" fontId="0" fillId="0" borderId="103" xfId="0" applyBorder="1"/>
    <xf numFmtId="0" fontId="0" fillId="0" borderId="152" xfId="0" applyBorder="1"/>
    <xf numFmtId="0" fontId="0" fillId="0" borderId="176" xfId="0" applyBorder="1"/>
    <xf numFmtId="0" fontId="0" fillId="0" borderId="177" xfId="0" applyBorder="1"/>
    <xf numFmtId="0" fontId="7" fillId="7" borderId="3" xfId="0" applyFont="1" applyFill="1" applyBorder="1" applyAlignment="1">
      <alignment horizontal="center" vertical="center"/>
    </xf>
    <xf numFmtId="10" fontId="15" fillId="12" borderId="11" xfId="0" applyNumberFormat="1" applyFont="1" applyFill="1" applyBorder="1" applyAlignment="1">
      <alignment horizontal="center" vertical="center"/>
    </xf>
    <xf numFmtId="10" fontId="15" fillId="13" borderId="8" xfId="0" applyNumberFormat="1" applyFont="1" applyFill="1" applyBorder="1" applyAlignment="1">
      <alignment horizontal="center" vertical="center"/>
    </xf>
    <xf numFmtId="10" fontId="7" fillId="14" borderId="10" xfId="0" applyNumberFormat="1" applyFont="1" applyFill="1" applyBorder="1" applyAlignment="1">
      <alignment horizontal="center" vertical="center"/>
    </xf>
    <xf numFmtId="10" fontId="7" fillId="14" borderId="9" xfId="0" applyNumberFormat="1" applyFont="1" applyFill="1" applyBorder="1" applyAlignment="1">
      <alignment horizontal="center" vertical="center"/>
    </xf>
    <xf numFmtId="10" fontId="7" fillId="14" borderId="3" xfId="0" applyNumberFormat="1" applyFont="1" applyFill="1" applyBorder="1" applyAlignment="1">
      <alignment horizontal="center" vertical="center"/>
    </xf>
    <xf numFmtId="10" fontId="15" fillId="13" borderId="10" xfId="0" applyNumberFormat="1" applyFont="1" applyFill="1" applyBorder="1" applyAlignment="1">
      <alignment horizontal="center" vertical="center"/>
    </xf>
    <xf numFmtId="10" fontId="7" fillId="13" borderId="10" xfId="0" applyNumberFormat="1" applyFont="1" applyFill="1" applyBorder="1" applyAlignment="1">
      <alignment horizontal="center" vertical="center"/>
    </xf>
    <xf numFmtId="10" fontId="7" fillId="13" borderId="9" xfId="0" applyNumberFormat="1" applyFont="1" applyFill="1" applyBorder="1" applyAlignment="1">
      <alignment horizontal="center" vertical="center"/>
    </xf>
    <xf numFmtId="10" fontId="7" fillId="13" borderId="8" xfId="0" applyNumberFormat="1" applyFont="1" applyFill="1" applyBorder="1" applyAlignment="1">
      <alignment horizontal="center" vertical="center"/>
    </xf>
    <xf numFmtId="10" fontId="15" fillId="13" borderId="9" xfId="0" applyNumberFormat="1" applyFont="1" applyFill="1" applyBorder="1" applyAlignment="1">
      <alignment horizontal="center" vertical="center"/>
    </xf>
    <xf numFmtId="10" fontId="7" fillId="13" borderId="3" xfId="0" applyNumberFormat="1" applyFont="1" applyFill="1" applyBorder="1" applyAlignment="1">
      <alignment horizontal="center" vertical="center"/>
    </xf>
    <xf numFmtId="2" fontId="7" fillId="13" borderId="3" xfId="0" applyNumberFormat="1" applyFont="1" applyFill="1" applyBorder="1" applyAlignment="1">
      <alignment horizontal="center" vertical="center"/>
    </xf>
    <xf numFmtId="10" fontId="15" fillId="12" borderId="12" xfId="0" applyNumberFormat="1" applyFont="1" applyFill="1" applyBorder="1" applyAlignment="1">
      <alignment horizontal="center" vertical="center"/>
    </xf>
    <xf numFmtId="10" fontId="7" fillId="12" borderId="26" xfId="0" applyNumberFormat="1" applyFont="1" applyFill="1" applyBorder="1" applyAlignment="1">
      <alignment horizontal="center" vertical="center"/>
    </xf>
    <xf numFmtId="10" fontId="7" fillId="12" borderId="0" xfId="0" applyNumberFormat="1" applyFont="1" applyFill="1" applyAlignment="1">
      <alignment horizontal="center" vertical="center"/>
    </xf>
    <xf numFmtId="10" fontId="7" fillId="12" borderId="12" xfId="0" applyNumberFormat="1" applyFont="1" applyFill="1" applyBorder="1" applyAlignment="1">
      <alignment horizontal="center" vertical="center"/>
    </xf>
    <xf numFmtId="2" fontId="7" fillId="12" borderId="12" xfId="0" applyNumberFormat="1" applyFont="1" applyFill="1" applyBorder="1" applyAlignment="1">
      <alignment horizontal="center" vertical="center"/>
    </xf>
    <xf numFmtId="2" fontId="7" fillId="12" borderId="26" xfId="0" applyNumberFormat="1" applyFont="1" applyFill="1" applyBorder="1" applyAlignment="1">
      <alignment horizontal="center" vertical="center"/>
    </xf>
    <xf numFmtId="10" fontId="7" fillId="12" borderId="3" xfId="0" applyNumberFormat="1" applyFont="1" applyFill="1" applyBorder="1" applyAlignment="1">
      <alignment horizontal="center" vertical="center"/>
    </xf>
    <xf numFmtId="10" fontId="15" fillId="12" borderId="3" xfId="0" applyNumberFormat="1" applyFont="1" applyFill="1" applyBorder="1" applyAlignment="1">
      <alignment horizontal="center" vertical="center"/>
    </xf>
    <xf numFmtId="10" fontId="7" fillId="12" borderId="10" xfId="0" applyNumberFormat="1" applyFont="1" applyFill="1" applyBorder="1" applyAlignment="1">
      <alignment horizontal="center" vertical="center"/>
    </xf>
    <xf numFmtId="10" fontId="15" fillId="12" borderId="9" xfId="0" applyNumberFormat="1" applyFont="1" applyFill="1" applyBorder="1" applyAlignment="1">
      <alignment horizontal="center" vertical="center"/>
    </xf>
    <xf numFmtId="2" fontId="7" fillId="12" borderId="10" xfId="0" applyNumberFormat="1" applyFont="1" applyFill="1" applyBorder="1" applyAlignment="1">
      <alignment horizontal="center" vertical="center"/>
    </xf>
    <xf numFmtId="10" fontId="7" fillId="12" borderId="9" xfId="0" applyNumberFormat="1" applyFont="1" applyFill="1" applyBorder="1" applyAlignment="1">
      <alignment horizontal="center" vertical="center"/>
    </xf>
    <xf numFmtId="2" fontId="7" fillId="12" borderId="3" xfId="0" applyNumberFormat="1" applyFont="1" applyFill="1" applyBorder="1" applyAlignment="1">
      <alignment horizontal="center" vertical="center"/>
    </xf>
    <xf numFmtId="10" fontId="7" fillId="13" borderId="4" xfId="0" applyNumberFormat="1" applyFont="1" applyFill="1" applyBorder="1" applyAlignment="1">
      <alignment horizontal="center" vertical="center"/>
    </xf>
    <xf numFmtId="10" fontId="15" fillId="13" borderId="6" xfId="0" applyNumberFormat="1" applyFont="1" applyFill="1" applyBorder="1" applyAlignment="1">
      <alignment horizontal="center" vertical="center"/>
    </xf>
    <xf numFmtId="10" fontId="7" fillId="13" borderId="2" xfId="0" applyNumberFormat="1" applyFont="1" applyFill="1" applyBorder="1" applyAlignment="1">
      <alignment horizontal="center" vertical="center"/>
    </xf>
    <xf numFmtId="10" fontId="7" fillId="13" borderId="6" xfId="0" applyNumberFormat="1" applyFont="1" applyFill="1" applyBorder="1" applyAlignment="1">
      <alignment horizontal="center" vertical="center"/>
    </xf>
    <xf numFmtId="2" fontId="7" fillId="13" borderId="2" xfId="0" applyNumberFormat="1" applyFont="1" applyFill="1" applyBorder="1" applyAlignment="1">
      <alignment horizontal="center" vertical="center"/>
    </xf>
    <xf numFmtId="10" fontId="7" fillId="13" borderId="0" xfId="0" applyNumberFormat="1" applyFont="1" applyFill="1" applyAlignment="1">
      <alignment horizontal="center" vertical="center"/>
    </xf>
    <xf numFmtId="2" fontId="7" fillId="13" borderId="6" xfId="0" applyNumberFormat="1" applyFont="1" applyFill="1" applyBorder="1" applyAlignment="1">
      <alignment horizontal="center" vertical="center"/>
    </xf>
    <xf numFmtId="10" fontId="7" fillId="11" borderId="8" xfId="0" applyNumberFormat="1" applyFont="1" applyFill="1" applyBorder="1" applyAlignment="1">
      <alignment horizontal="center" vertical="center"/>
    </xf>
    <xf numFmtId="10" fontId="7" fillId="11" borderId="3" xfId="0" applyNumberFormat="1" applyFont="1" applyFill="1" applyBorder="1" applyAlignment="1">
      <alignment horizontal="center" vertical="center"/>
    </xf>
    <xf numFmtId="10" fontId="7" fillId="11" borderId="9" xfId="0" applyNumberFormat="1" applyFont="1" applyFill="1" applyBorder="1" applyAlignment="1">
      <alignment horizontal="center" vertical="center"/>
    </xf>
    <xf numFmtId="2" fontId="7" fillId="11" borderId="3" xfId="0" applyNumberFormat="1" applyFont="1" applyFill="1" applyBorder="1" applyAlignment="1">
      <alignment horizontal="center" vertical="center"/>
    </xf>
    <xf numFmtId="2" fontId="7" fillId="14" borderId="9" xfId="0" applyNumberFormat="1" applyFont="1" applyFill="1" applyBorder="1" applyAlignment="1">
      <alignment horizontal="center" vertical="center"/>
    </xf>
    <xf numFmtId="2" fontId="7" fillId="14" borderId="10" xfId="0" applyNumberFormat="1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14" fontId="7" fillId="17" borderId="172" xfId="0" applyNumberFormat="1" applyFont="1" applyFill="1" applyBorder="1" applyAlignment="1">
      <alignment horizontal="center" vertical="center" wrapText="1"/>
    </xf>
    <xf numFmtId="0" fontId="7" fillId="17" borderId="172" xfId="0" applyFont="1" applyFill="1" applyBorder="1" applyAlignment="1">
      <alignment horizontal="center" vertical="center" wrapText="1"/>
    </xf>
    <xf numFmtId="0" fontId="7" fillId="17" borderId="172" xfId="0" applyFont="1" applyFill="1" applyBorder="1" applyAlignment="1">
      <alignment horizontal="center" vertical="center"/>
    </xf>
    <xf numFmtId="0" fontId="2" fillId="17" borderId="172" xfId="0" applyFont="1" applyFill="1" applyBorder="1" applyAlignment="1">
      <alignment horizontal="center" vertical="center"/>
    </xf>
    <xf numFmtId="0" fontId="0" fillId="0" borderId="178" xfId="0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14" fontId="0" fillId="0" borderId="178" xfId="0" applyNumberFormat="1" applyBorder="1" applyAlignment="1">
      <alignment horizontal="center" vertical="center"/>
    </xf>
    <xf numFmtId="2" fontId="0" fillId="0" borderId="178" xfId="0" applyNumberFormat="1" applyBorder="1" applyAlignment="1">
      <alignment horizontal="center" vertical="center" wrapText="1"/>
    </xf>
    <xf numFmtId="2" fontId="0" fillId="0" borderId="178" xfId="2" applyNumberFormat="1" applyFont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2" fillId="17" borderId="8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8" xfId="0" applyFill="1" applyBorder="1"/>
    <xf numFmtId="0" fontId="2" fillId="17" borderId="13" xfId="0" applyFont="1" applyFill="1" applyBorder="1" applyAlignment="1">
      <alignment horizontal="center" vertical="center"/>
    </xf>
    <xf numFmtId="0" fontId="0" fillId="7" borderId="3" xfId="0" applyFill="1" applyBorder="1"/>
    <xf numFmtId="0" fontId="2" fillId="7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179" xfId="0" applyBorder="1" applyAlignment="1">
      <alignment horizontal="center" vertical="center"/>
    </xf>
    <xf numFmtId="14" fontId="0" fillId="0" borderId="179" xfId="0" applyNumberFormat="1" applyBorder="1" applyAlignment="1">
      <alignment horizontal="center" vertical="center"/>
    </xf>
    <xf numFmtId="2" fontId="0" fillId="0" borderId="179" xfId="0" applyNumberFormat="1" applyBorder="1" applyAlignment="1">
      <alignment horizontal="center" vertical="center" wrapText="1"/>
    </xf>
    <xf numFmtId="2" fontId="0" fillId="0" borderId="179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5" borderId="75" xfId="0" applyFont="1" applyFill="1" applyBorder="1"/>
    <xf numFmtId="0" fontId="2" fillId="5" borderId="107" xfId="0" applyFont="1" applyFill="1" applyBorder="1"/>
    <xf numFmtId="0" fontId="0" fillId="0" borderId="11" xfId="0" applyBorder="1"/>
    <xf numFmtId="0" fontId="2" fillId="5" borderId="2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3" borderId="141" xfId="0" applyFont="1" applyFill="1" applyBorder="1" applyAlignment="1">
      <alignment horizontal="left"/>
    </xf>
    <xf numFmtId="0" fontId="2" fillId="3" borderId="140" xfId="0" applyFont="1" applyFill="1" applyBorder="1" applyAlignment="1">
      <alignment horizontal="left"/>
    </xf>
    <xf numFmtId="0" fontId="2" fillId="3" borderId="174" xfId="0" applyFont="1" applyFill="1" applyBorder="1" applyAlignment="1">
      <alignment horizontal="left" vertical="center"/>
    </xf>
    <xf numFmtId="0" fontId="12" fillId="7" borderId="141" xfId="0" applyFont="1" applyFill="1" applyBorder="1" applyAlignment="1">
      <alignment horizontal="center"/>
    </xf>
    <xf numFmtId="0" fontId="12" fillId="7" borderId="141" xfId="0" applyFont="1" applyFill="1" applyBorder="1" applyAlignment="1">
      <alignment horizontal="left"/>
    </xf>
    <xf numFmtId="166" fontId="14" fillId="5" borderId="141" xfId="0" applyNumberFormat="1" applyFont="1" applyFill="1" applyBorder="1" applyAlignment="1">
      <alignment horizontal="center" vertical="center"/>
    </xf>
    <xf numFmtId="166" fontId="0" fillId="5" borderId="141" xfId="0" applyNumberFormat="1" applyFill="1" applyBorder="1" applyAlignment="1">
      <alignment horizontal="center" vertical="center"/>
    </xf>
    <xf numFmtId="2" fontId="0" fillId="5" borderId="141" xfId="0" applyNumberFormat="1" applyFill="1" applyBorder="1" applyAlignment="1">
      <alignment horizontal="center" vertical="center"/>
    </xf>
    <xf numFmtId="2" fontId="0" fillId="5" borderId="140" xfId="0" applyNumberFormat="1" applyFill="1" applyBorder="1" applyAlignment="1">
      <alignment horizontal="center" vertical="center"/>
    </xf>
    <xf numFmtId="2" fontId="0" fillId="5" borderId="142" xfId="0" applyNumberFormat="1" applyFill="1" applyBorder="1" applyAlignment="1">
      <alignment horizontal="center" vertical="center"/>
    </xf>
    <xf numFmtId="2" fontId="0" fillId="5" borderId="139" xfId="0" applyNumberFormat="1" applyFill="1" applyBorder="1" applyAlignment="1">
      <alignment horizontal="center" vertical="center"/>
    </xf>
    <xf numFmtId="2" fontId="0" fillId="5" borderId="113" xfId="0" applyNumberFormat="1" applyFill="1" applyBorder="1" applyAlignment="1">
      <alignment horizontal="center" vertical="center"/>
    </xf>
    <xf numFmtId="2" fontId="0" fillId="5" borderId="112" xfId="0" applyNumberFormat="1" applyFill="1" applyBorder="1" applyAlignment="1">
      <alignment horizontal="center" vertical="center"/>
    </xf>
    <xf numFmtId="0" fontId="0" fillId="3" borderId="141" xfId="0" applyFill="1" applyBorder="1" applyAlignment="1">
      <alignment horizontal="left"/>
    </xf>
    <xf numFmtId="10" fontId="0" fillId="5" borderId="141" xfId="0" applyNumberFormat="1" applyFill="1" applyBorder="1" applyAlignment="1">
      <alignment horizontal="center" vertical="center"/>
    </xf>
    <xf numFmtId="10" fontId="0" fillId="5" borderId="140" xfId="0" applyNumberFormat="1" applyFill="1" applyBorder="1" applyAlignment="1">
      <alignment horizontal="center" vertical="center"/>
    </xf>
    <xf numFmtId="10" fontId="17" fillId="5" borderId="141" xfId="1" applyNumberFormat="1" applyFont="1" applyFill="1" applyBorder="1" applyAlignment="1">
      <alignment horizontal="center" vertical="center"/>
    </xf>
    <xf numFmtId="10" fontId="0" fillId="5" borderId="140" xfId="1" applyNumberFormat="1" applyFont="1" applyFill="1" applyBorder="1" applyAlignment="1">
      <alignment horizontal="center" vertical="center"/>
    </xf>
    <xf numFmtId="10" fontId="0" fillId="5" borderId="141" xfId="1" applyNumberFormat="1" applyFont="1" applyFill="1" applyBorder="1" applyAlignment="1">
      <alignment horizontal="center" vertical="center"/>
    </xf>
    <xf numFmtId="10" fontId="1" fillId="5" borderId="140" xfId="1" applyNumberFormat="1" applyFont="1" applyFill="1" applyBorder="1" applyAlignment="1">
      <alignment horizontal="center" vertical="center"/>
    </xf>
    <xf numFmtId="10" fontId="0" fillId="5" borderId="112" xfId="1" applyNumberFormat="1" applyFont="1" applyFill="1" applyBorder="1" applyAlignment="1">
      <alignment horizontal="center" vertical="center"/>
    </xf>
    <xf numFmtId="2" fontId="1" fillId="5" borderId="141" xfId="1" applyNumberFormat="1" applyFont="1" applyFill="1" applyBorder="1" applyAlignment="1">
      <alignment horizontal="center" vertical="center"/>
    </xf>
    <xf numFmtId="2" fontId="1" fillId="5" borderId="112" xfId="0" applyNumberFormat="1" applyFont="1" applyFill="1" applyBorder="1" applyAlignment="1">
      <alignment horizontal="center" vertical="center"/>
    </xf>
    <xf numFmtId="2" fontId="1" fillId="5" borderId="142" xfId="0" applyNumberFormat="1" applyFont="1" applyFill="1" applyBorder="1" applyAlignment="1">
      <alignment horizontal="center" vertical="center"/>
    </xf>
    <xf numFmtId="2" fontId="17" fillId="5" borderId="141" xfId="1" applyNumberFormat="1" applyFont="1" applyFill="1" applyBorder="1" applyAlignment="1">
      <alignment horizontal="center" vertical="center"/>
    </xf>
    <xf numFmtId="2" fontId="0" fillId="5" borderId="112" xfId="1" applyNumberFormat="1" applyFont="1" applyFill="1" applyBorder="1" applyAlignment="1">
      <alignment horizontal="center" vertical="center"/>
    </xf>
    <xf numFmtId="2" fontId="0" fillId="5" borderId="142" xfId="1" applyNumberFormat="1" applyFont="1" applyFill="1" applyBorder="1" applyAlignment="1">
      <alignment horizontal="center" vertical="center"/>
    </xf>
    <xf numFmtId="0" fontId="0" fillId="5" borderId="141" xfId="0" applyFill="1" applyBorder="1" applyAlignment="1">
      <alignment horizontal="center" vertical="center"/>
    </xf>
    <xf numFmtId="10" fontId="2" fillId="5" borderId="141" xfId="0" applyNumberFormat="1" applyFont="1" applyFill="1" applyBorder="1" applyAlignment="1">
      <alignment horizontal="center" vertical="center"/>
    </xf>
    <xf numFmtId="2" fontId="17" fillId="5" borderId="141" xfId="0" applyNumberFormat="1" applyFont="1" applyFill="1" applyBorder="1" applyAlignment="1">
      <alignment horizontal="center" vertical="center"/>
    </xf>
    <xf numFmtId="2" fontId="17" fillId="5" borderId="139" xfId="0" applyNumberFormat="1" applyFont="1" applyFill="1" applyBorder="1" applyAlignment="1">
      <alignment horizontal="center" vertical="center"/>
    </xf>
    <xf numFmtId="2" fontId="17" fillId="5" borderId="113" xfId="0" applyNumberFormat="1" applyFont="1" applyFill="1" applyBorder="1" applyAlignment="1">
      <alignment horizontal="center" vertical="center"/>
    </xf>
    <xf numFmtId="0" fontId="12" fillId="7" borderId="175" xfId="0" applyFont="1" applyFill="1" applyBorder="1" applyAlignment="1">
      <alignment horizontal="left"/>
    </xf>
    <xf numFmtId="10" fontId="1" fillId="3" borderId="180" xfId="1" applyNumberFormat="1" applyFont="1" applyFill="1" applyBorder="1" applyAlignment="1">
      <alignment horizontal="center" vertical="center"/>
    </xf>
    <xf numFmtId="10" fontId="0" fillId="3" borderId="148" xfId="1" applyNumberFormat="1" applyFont="1" applyFill="1" applyBorder="1" applyAlignment="1">
      <alignment horizontal="center" vertical="center"/>
    </xf>
    <xf numFmtId="0" fontId="0" fillId="3" borderId="140" xfId="0" applyFill="1" applyBorder="1" applyAlignment="1">
      <alignment horizontal="left"/>
    </xf>
    <xf numFmtId="2" fontId="17" fillId="5" borderId="181" xfId="1" applyNumberFormat="1" applyFont="1" applyFill="1" applyBorder="1" applyAlignment="1">
      <alignment horizontal="center" vertical="center"/>
    </xf>
    <xf numFmtId="2" fontId="0" fillId="5" borderId="182" xfId="1" applyNumberFormat="1" applyFont="1" applyFill="1" applyBorder="1" applyAlignment="1">
      <alignment horizontal="center" vertical="center"/>
    </xf>
    <xf numFmtId="2" fontId="1" fillId="5" borderId="181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17" fillId="0" borderId="0" xfId="0" applyFont="1"/>
    <xf numFmtId="2" fontId="2" fillId="2" borderId="3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2" fontId="0" fillId="5" borderId="120" xfId="0" applyNumberFormat="1" applyFill="1" applyBorder="1" applyAlignment="1">
      <alignment horizontal="center" vertical="center"/>
    </xf>
    <xf numFmtId="2" fontId="0" fillId="5" borderId="117" xfId="0" applyNumberFormat="1" applyFill="1" applyBorder="1" applyAlignment="1">
      <alignment horizontal="center" vertical="center"/>
    </xf>
    <xf numFmtId="0" fontId="2" fillId="3" borderId="183" xfId="0" applyFont="1" applyFill="1" applyBorder="1" applyAlignment="1">
      <alignment horizontal="left" vertical="center"/>
    </xf>
    <xf numFmtId="2" fontId="1" fillId="3" borderId="141" xfId="1" applyNumberFormat="1" applyFont="1" applyFill="1" applyBorder="1" applyAlignment="1">
      <alignment horizontal="center" vertical="center"/>
    </xf>
    <xf numFmtId="2" fontId="0" fillId="3" borderId="141" xfId="0" applyNumberFormat="1" applyFill="1" applyBorder="1" applyAlignment="1">
      <alignment horizontal="center" vertical="center"/>
    </xf>
    <xf numFmtId="0" fontId="0" fillId="3" borderId="141" xfId="0" applyFill="1" applyBorder="1" applyAlignment="1">
      <alignment horizontal="center" vertical="center"/>
    </xf>
    <xf numFmtId="10" fontId="0" fillId="3" borderId="141" xfId="0" applyNumberFormat="1" applyFill="1" applyBorder="1" applyAlignment="1">
      <alignment horizontal="center" vertical="center"/>
    </xf>
    <xf numFmtId="2" fontId="14" fillId="5" borderId="140" xfId="0" applyNumberFormat="1" applyFont="1" applyFill="1" applyBorder="1" applyAlignment="1">
      <alignment horizontal="center" vertical="center"/>
    </xf>
    <xf numFmtId="0" fontId="2" fillId="0" borderId="0" xfId="0" applyFont="1"/>
    <xf numFmtId="2" fontId="22" fillId="7" borderId="160" xfId="0" applyNumberFormat="1" applyFont="1" applyFill="1" applyBorder="1" applyAlignment="1">
      <alignment horizontal="center" vertical="center"/>
    </xf>
    <xf numFmtId="2" fontId="10" fillId="7" borderId="167" xfId="0" applyNumberFormat="1" applyFont="1" applyFill="1" applyBorder="1" applyAlignment="1">
      <alignment horizontal="center" vertical="center"/>
    </xf>
    <xf numFmtId="2" fontId="10" fillId="7" borderId="161" xfId="0" applyNumberFormat="1" applyFont="1" applyFill="1" applyBorder="1" applyAlignment="1">
      <alignment horizontal="center" vertical="center"/>
    </xf>
    <xf numFmtId="2" fontId="10" fillId="7" borderId="165" xfId="0" applyNumberFormat="1" applyFont="1" applyFill="1" applyBorder="1" applyAlignment="1">
      <alignment horizontal="center" vertical="center"/>
    </xf>
    <xf numFmtId="2" fontId="10" fillId="7" borderId="170" xfId="0" applyNumberFormat="1" applyFont="1" applyFill="1" applyBorder="1" applyAlignment="1">
      <alignment horizontal="center" vertical="center"/>
    </xf>
    <xf numFmtId="0" fontId="12" fillId="7" borderId="182" xfId="0" applyFont="1" applyFill="1" applyBorder="1" applyAlignment="1">
      <alignment horizontal="left"/>
    </xf>
    <xf numFmtId="2" fontId="0" fillId="0" borderId="8" xfId="0" applyNumberFormat="1" applyBorder="1" applyAlignment="1">
      <alignment vertical="center"/>
    </xf>
    <xf numFmtId="2" fontId="0" fillId="0" borderId="27" xfId="0" applyNumberFormat="1" applyBorder="1" applyAlignment="1">
      <alignment vertical="center"/>
    </xf>
    <xf numFmtId="1" fontId="7" fillId="4" borderId="8" xfId="0" applyNumberFormat="1" applyFont="1" applyFill="1" applyBorder="1" applyAlignment="1">
      <alignment horizontal="center" vertical="center"/>
    </xf>
    <xf numFmtId="1" fontId="0" fillId="0" borderId="15" xfId="0" applyNumberFormat="1" applyBorder="1"/>
    <xf numFmtId="1" fontId="0" fillId="0" borderId="10" xfId="0" applyNumberFormat="1" applyBorder="1"/>
    <xf numFmtId="1" fontId="11" fillId="4" borderId="3" xfId="0" applyNumberFormat="1" applyFont="1" applyFill="1" applyBorder="1" applyAlignment="1">
      <alignment horizontal="center" vertical="center"/>
    </xf>
    <xf numFmtId="1" fontId="11" fillId="4" borderId="10" xfId="0" applyNumberFormat="1" applyFont="1" applyFill="1" applyBorder="1" applyAlignment="1">
      <alignment horizontal="center" vertical="center"/>
    </xf>
    <xf numFmtId="1" fontId="11" fillId="4" borderId="9" xfId="0" applyNumberFormat="1" applyFont="1" applyFill="1" applyBorder="1" applyAlignment="1">
      <alignment horizontal="center" vertical="center"/>
    </xf>
    <xf numFmtId="1" fontId="24" fillId="0" borderId="26" xfId="0" applyNumberFormat="1" applyFont="1" applyBorder="1"/>
    <xf numFmtId="167" fontId="11" fillId="4" borderId="3" xfId="0" applyNumberFormat="1" applyFont="1" applyFill="1" applyBorder="1" applyAlignment="1">
      <alignment horizontal="center" vertical="center"/>
    </xf>
    <xf numFmtId="167" fontId="7" fillId="4" borderId="10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67" fontId="7" fillId="4" borderId="3" xfId="0" applyNumberFormat="1" applyFont="1" applyFill="1" applyBorder="1" applyAlignment="1">
      <alignment horizontal="center" vertical="center"/>
    </xf>
    <xf numFmtId="167" fontId="7" fillId="4" borderId="9" xfId="0" applyNumberFormat="1" applyFont="1" applyFill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0" fillId="0" borderId="184" xfId="0" applyBorder="1"/>
    <xf numFmtId="0" fontId="0" fillId="0" borderId="185" xfId="0" applyBorder="1"/>
    <xf numFmtId="0" fontId="7" fillId="3" borderId="186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187" xfId="0" applyFont="1" applyFill="1" applyBorder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2" fillId="2" borderId="118" xfId="0" applyFont="1" applyFill="1" applyBorder="1" applyAlignment="1">
      <alignment horizontal="center" vertical="center"/>
    </xf>
    <xf numFmtId="0" fontId="12" fillId="2" borderId="119" xfId="0" applyFont="1" applyFill="1" applyBorder="1" applyAlignment="1">
      <alignment horizontal="center" vertical="center"/>
    </xf>
    <xf numFmtId="0" fontId="12" fillId="2" borderId="120" xfId="0" applyFont="1" applyFill="1" applyBorder="1" applyAlignment="1">
      <alignment horizontal="center" vertical="center"/>
    </xf>
    <xf numFmtId="0" fontId="2" fillId="2" borderId="1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6" xfId="0" applyFont="1" applyFill="1" applyBorder="1" applyAlignment="1">
      <alignment horizontal="center" vertical="center"/>
    </xf>
    <xf numFmtId="0" fontId="8" fillId="2" borderId="118" xfId="0" applyFont="1" applyFill="1" applyBorder="1" applyAlignment="1">
      <alignment horizontal="center" vertical="center"/>
    </xf>
    <xf numFmtId="0" fontId="8" fillId="2" borderId="119" xfId="0" applyFont="1" applyFill="1" applyBorder="1" applyAlignment="1">
      <alignment horizontal="center" vertical="center"/>
    </xf>
    <xf numFmtId="0" fontId="8" fillId="2" borderId="120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16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0" fontId="20" fillId="8" borderId="12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0" fontId="0" fillId="7" borderId="26" xfId="0" applyNumberFormat="1" applyFill="1" applyBorder="1" applyAlignment="1">
      <alignment horizontal="center" vertical="center"/>
    </xf>
    <xf numFmtId="10" fontId="0" fillId="7" borderId="4" xfId="0" applyNumberForma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0" fillId="0" borderId="11" xfId="0" applyBorder="1"/>
    <xf numFmtId="0" fontId="0" fillId="0" borderId="7" xfId="0" applyBorder="1"/>
    <xf numFmtId="0" fontId="2" fillId="4" borderId="14" xfId="0" applyFont="1" applyFill="1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166" fontId="9" fillId="7" borderId="26" xfId="0" applyNumberFormat="1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/>
    </xf>
    <xf numFmtId="10" fontId="9" fillId="7" borderId="26" xfId="0" applyNumberFormat="1" applyFont="1" applyFill="1" applyBorder="1" applyAlignment="1">
      <alignment horizontal="center" vertical="center"/>
    </xf>
    <xf numFmtId="10" fontId="9" fillId="7" borderId="4" xfId="0" applyNumberFormat="1" applyFont="1" applyFill="1" applyBorder="1" applyAlignment="1">
      <alignment horizontal="center"/>
    </xf>
    <xf numFmtId="10" fontId="9" fillId="7" borderId="6" xfId="0" applyNumberFormat="1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66" fontId="9" fillId="7" borderId="4" xfId="0" applyNumberFormat="1" applyFont="1" applyFill="1" applyBorder="1" applyAlignment="1">
      <alignment horizontal="center" vertical="center"/>
    </xf>
    <xf numFmtId="165" fontId="9" fillId="7" borderId="26" xfId="0" applyNumberFormat="1" applyFont="1" applyFill="1" applyBorder="1" applyAlignment="1">
      <alignment horizontal="right" vertical="center"/>
    </xf>
    <xf numFmtId="165" fontId="9" fillId="7" borderId="4" xfId="0" applyNumberFormat="1" applyFont="1" applyFill="1" applyBorder="1" applyAlignment="1">
      <alignment horizontal="right" vertical="center"/>
    </xf>
    <xf numFmtId="3" fontId="9" fillId="7" borderId="26" xfId="0" applyNumberFormat="1" applyFont="1" applyFill="1" applyBorder="1" applyAlignment="1">
      <alignment horizontal="right" vertical="center"/>
    </xf>
    <xf numFmtId="3" fontId="9" fillId="7" borderId="4" xfId="0" applyNumberFormat="1" applyFont="1" applyFill="1" applyBorder="1" applyAlignment="1">
      <alignment horizontal="right" vertical="center"/>
    </xf>
    <xf numFmtId="10" fontId="7" fillId="7" borderId="26" xfId="0" applyNumberFormat="1" applyFont="1" applyFill="1" applyBorder="1" applyAlignment="1">
      <alignment horizontal="center" vertical="center"/>
    </xf>
    <xf numFmtId="10" fontId="7" fillId="7" borderId="6" xfId="0" applyNumberFormat="1" applyFont="1" applyFill="1" applyBorder="1" applyAlignment="1">
      <alignment horizontal="center" vertical="center"/>
    </xf>
    <xf numFmtId="2" fontId="9" fillId="7" borderId="26" xfId="0" applyNumberFormat="1" applyFont="1" applyFill="1" applyBorder="1" applyAlignment="1">
      <alignment horizontal="center" vertical="center"/>
    </xf>
    <xf numFmtId="2" fontId="9" fillId="7" borderId="6" xfId="0" applyNumberFormat="1" applyFont="1" applyFill="1" applyBorder="1" applyAlignment="1">
      <alignment horizontal="center" vertical="center"/>
    </xf>
    <xf numFmtId="10" fontId="9" fillId="7" borderId="6" xfId="0" applyNumberFormat="1" applyFont="1" applyFill="1" applyBorder="1" applyAlignment="1">
      <alignment horizontal="center" vertical="center"/>
    </xf>
    <xf numFmtId="10" fontId="9" fillId="7" borderId="4" xfId="0" applyNumberFormat="1" applyFont="1" applyFill="1" applyBorder="1" applyAlignment="1">
      <alignment horizontal="center" vertical="center"/>
    </xf>
    <xf numFmtId="0" fontId="2" fillId="15" borderId="12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12" fillId="4" borderId="158" xfId="0" applyFont="1" applyFill="1" applyBorder="1" applyAlignment="1">
      <alignment horizontal="center" vertical="center"/>
    </xf>
    <xf numFmtId="0" fontId="12" fillId="4" borderId="159" xfId="0" applyFont="1" applyFill="1" applyBorder="1" applyAlignment="1">
      <alignment horizontal="center" vertical="center"/>
    </xf>
    <xf numFmtId="0" fontId="12" fillId="4" borderId="156" xfId="0" applyFont="1" applyFill="1" applyBorder="1" applyAlignment="1">
      <alignment horizontal="center" vertical="center"/>
    </xf>
    <xf numFmtId="0" fontId="12" fillId="4" borderId="157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12" fillId="4" borderId="154" xfId="0" applyFont="1" applyFill="1" applyBorder="1" applyAlignment="1">
      <alignment horizontal="center" vertical="center"/>
    </xf>
    <xf numFmtId="0" fontId="12" fillId="4" borderId="155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6" borderId="12" xfId="0" applyFont="1" applyFill="1" applyBorder="1" applyAlignment="1">
      <alignment horizontal="center" vertical="center"/>
    </xf>
    <xf numFmtId="0" fontId="8" fillId="16" borderId="7" xfId="0" applyFont="1" applyFill="1" applyBorder="1" applyAlignment="1">
      <alignment horizontal="center" vertical="center"/>
    </xf>
    <xf numFmtId="0" fontId="8" fillId="16" borderId="14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8" fillId="16" borderId="13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2" fontId="12" fillId="3" borderId="12" xfId="0" applyNumberFormat="1" applyFont="1" applyFill="1" applyBorder="1" applyAlignment="1">
      <alignment horizontal="center" vertical="center"/>
    </xf>
    <xf numFmtId="2" fontId="12" fillId="3" borderId="7" xfId="0" applyNumberFormat="1" applyFont="1" applyFill="1" applyBorder="1" applyAlignment="1">
      <alignment horizontal="center" vertical="center"/>
    </xf>
    <xf numFmtId="2" fontId="12" fillId="3" borderId="14" xfId="0" applyNumberFormat="1" applyFont="1" applyFill="1" applyBorder="1" applyAlignment="1">
      <alignment horizontal="center" vertical="center"/>
    </xf>
    <xf numFmtId="2" fontId="12" fillId="3" borderId="5" xfId="0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12" fillId="3" borderId="11" xfId="0" applyNumberFormat="1" applyFont="1" applyFill="1" applyBorder="1" applyAlignment="1">
      <alignment horizontal="center" vertical="center"/>
    </xf>
    <xf numFmtId="2" fontId="12" fillId="3" borderId="2" xfId="0" applyNumberFormat="1" applyFont="1" applyFill="1" applyBorder="1" applyAlignment="1">
      <alignment horizontal="center" vertical="center"/>
    </xf>
    <xf numFmtId="2" fontId="12" fillId="3" borderId="13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2" fontId="12" fillId="7" borderId="12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2" fillId="7" borderId="14" xfId="0" applyNumberFormat="1" applyFont="1" applyFill="1" applyBorder="1" applyAlignment="1">
      <alignment horizontal="center" vertical="center"/>
    </xf>
    <xf numFmtId="2" fontId="12" fillId="7" borderId="5" xfId="0" applyNumberFormat="1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13" fillId="8" borderId="12" xfId="0" applyNumberFormat="1" applyFont="1" applyFill="1" applyBorder="1" applyAlignment="1">
      <alignment horizontal="center" vertical="center"/>
    </xf>
    <xf numFmtId="2" fontId="13" fillId="8" borderId="7" xfId="0" applyNumberFormat="1" applyFont="1" applyFill="1" applyBorder="1" applyAlignment="1">
      <alignment horizontal="center" vertical="center"/>
    </xf>
    <xf numFmtId="2" fontId="13" fillId="8" borderId="14" xfId="0" applyNumberFormat="1" applyFont="1" applyFill="1" applyBorder="1" applyAlignment="1">
      <alignment horizontal="center" vertical="center"/>
    </xf>
    <xf numFmtId="2" fontId="13" fillId="8" borderId="5" xfId="0" applyNumberFormat="1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2" fillId="3" borderId="152" xfId="0" applyFont="1" applyFill="1" applyBorder="1" applyAlignment="1">
      <alignment horizontal="center" vertical="center"/>
    </xf>
    <xf numFmtId="0" fontId="2" fillId="3" borderId="153" xfId="0" applyFont="1" applyFill="1" applyBorder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2" xfId="0" applyFont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2" fontId="12" fillId="7" borderId="13" xfId="0" applyNumberFormat="1" applyFont="1" applyFill="1" applyBorder="1" applyAlignment="1">
      <alignment horizontal="center" vertical="center"/>
    </xf>
    <xf numFmtId="2" fontId="12" fillId="7" borderId="1" xfId="0" applyNumberFormat="1" applyFont="1" applyFill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12" xfId="1" applyNumberFormat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2" fontId="12" fillId="0" borderId="13" xfId="1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13" fillId="8" borderId="11" xfId="0" applyNumberFormat="1" applyFont="1" applyFill="1" applyBorder="1" applyAlignment="1">
      <alignment horizontal="center" vertical="center"/>
    </xf>
    <xf numFmtId="2" fontId="13" fillId="8" borderId="2" xfId="0" applyNumberFormat="1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CC"/>
      <color rgb="FFFF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7933879840363"/>
          <c:y val="0.18372951691849326"/>
          <c:w val="0.4862336856865494"/>
          <c:h val="0.6927899553096406"/>
        </c:manualLayout>
      </c:layout>
      <c:radarChart>
        <c:radarStyle val="marker"/>
        <c:varyColors val="0"/>
        <c:ser>
          <c:idx val="0"/>
          <c:order val="0"/>
          <c:tx>
            <c:strRef>
              <c:f>BENCHMARKING!$E$32</c:f>
              <c:strCache>
                <c:ptCount val="1"/>
                <c:pt idx="0">
                  <c:v>CONTAINER MARKET 2Y AVERAGE</c:v>
                </c:pt>
              </c:strCache>
            </c:strRef>
          </c:tx>
          <c:spPr>
            <a:ln w="47625">
              <a:solidFill>
                <a:schemeClr val="tx1"/>
              </a:solidFill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cat>
            <c:strRef>
              <c:f>BENCHMARKING!$C$33:$D$42</c:f>
              <c:strCache>
                <c:ptCount val="10"/>
                <c:pt idx="0">
                  <c:v>RONOA</c:v>
                </c:pt>
                <c:pt idx="1">
                  <c:v>WC/NET SALES</c:v>
                </c:pt>
                <c:pt idx="2">
                  <c:v>NET FIXED ASSETS/NET SALES</c:v>
                </c:pt>
                <c:pt idx="3">
                  <c:v>EBIT/NET SALES</c:v>
                </c:pt>
                <c:pt idx="4">
                  <c:v>ROCE</c:v>
                </c:pt>
                <c:pt idx="5">
                  <c:v>ROE</c:v>
                </c:pt>
                <c:pt idx="6">
                  <c:v>SOLVENCY</c:v>
                </c:pt>
                <c:pt idx="7">
                  <c:v>CURRENT RATIO</c:v>
                </c:pt>
                <c:pt idx="8">
                  <c:v>NET DEBT/TOTAL ASSETS</c:v>
                </c:pt>
                <c:pt idx="9">
                  <c:v>EBITDA/NET FINANCE COSTS</c:v>
                </c:pt>
              </c:strCache>
            </c:strRef>
          </c:cat>
          <c:val>
            <c:numRef>
              <c:f>BENCHMARKING!$E$33:$E$42</c:f>
              <c:numCache>
                <c:formatCode>General</c:formatCode>
                <c:ptCount val="10"/>
                <c:pt idx="0">
                  <c:v>2</c:v>
                </c:pt>
                <c:pt idx="1">
                  <c:v>9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3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4-4250-B6EC-BCDF33DD6335}"/>
            </c:ext>
          </c:extLst>
        </c:ser>
        <c:ser>
          <c:idx val="1"/>
          <c:order val="1"/>
          <c:tx>
            <c:strRef>
              <c:f>BENCHMARKING!$H$32</c:f>
              <c:strCache>
                <c:ptCount val="1"/>
                <c:pt idx="0">
                  <c:v>CMRE 2Y AVERAGE</c:v>
                </c:pt>
              </c:strCache>
            </c:strRef>
          </c:tx>
          <c:spPr>
            <a:ln w="47625">
              <a:solidFill>
                <a:schemeClr val="accent2"/>
              </a:solidFill>
            </a:ln>
          </c:spPr>
          <c:marker>
            <c:spPr>
              <a:ln>
                <a:solidFill>
                  <a:schemeClr val="accent2"/>
                </a:solidFill>
              </a:ln>
            </c:spPr>
          </c:marker>
          <c:val>
            <c:numRef>
              <c:f>BENCHMARKING!$H$33:$H$42</c:f>
              <c:numCache>
                <c:formatCode>General</c:formatCode>
                <c:ptCount val="10"/>
                <c:pt idx="0">
                  <c:v>0</c:v>
                </c:pt>
                <c:pt idx="1">
                  <c:v>4.4000000000000004</c:v>
                </c:pt>
                <c:pt idx="2">
                  <c:v>3.4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4.5</c:v>
                </c:pt>
                <c:pt idx="7">
                  <c:v>4.7</c:v>
                </c:pt>
                <c:pt idx="8">
                  <c:v>4.2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4-4250-B6EC-BCDF33DD6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64544"/>
        <c:axId val="60766080"/>
      </c:radarChart>
      <c:catAx>
        <c:axId val="607645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l-GR"/>
          </a:p>
        </c:txPr>
        <c:crossAx val="60766080"/>
        <c:crosses val="autoZero"/>
        <c:auto val="1"/>
        <c:lblAlgn val="ctr"/>
        <c:lblOffset val="100"/>
        <c:noMultiLvlLbl val="0"/>
      </c:catAx>
      <c:valAx>
        <c:axId val="6076608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60764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663878699532814"/>
          <c:y val="0.77545158544371162"/>
          <c:w val="0.25577395959040777"/>
          <c:h val="9.7745477761225788E-2"/>
        </c:manualLayout>
      </c:layout>
      <c:overlay val="0"/>
      <c:txPr>
        <a:bodyPr/>
        <a:lstStyle/>
        <a:p>
          <a:pPr>
            <a:defRPr sz="1050" b="1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24</xdr:row>
      <xdr:rowOff>12700</xdr:rowOff>
    </xdr:from>
    <xdr:to>
      <xdr:col>11</xdr:col>
      <xdr:colOff>647700</xdr:colOff>
      <xdr:row>50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opLeftCell="A3" zoomScaleNormal="100" workbookViewId="0">
      <selection activeCell="C34" sqref="C34"/>
    </sheetView>
  </sheetViews>
  <sheetFormatPr defaultRowHeight="15" x14ac:dyDescent="0.25"/>
  <cols>
    <col min="1" max="1" width="60.140625" customWidth="1"/>
    <col min="2" max="2" width="14.7109375" customWidth="1"/>
    <col min="3" max="3" width="11" customWidth="1"/>
    <col min="4" max="4" width="14.85546875" customWidth="1"/>
    <col min="5" max="5" width="11" customWidth="1"/>
    <col min="6" max="6" width="14.7109375" customWidth="1"/>
    <col min="7" max="7" width="11" customWidth="1"/>
    <col min="8" max="8" width="14.85546875" customWidth="1"/>
    <col min="9" max="9" width="11" customWidth="1"/>
    <col min="10" max="10" width="14.85546875" customWidth="1"/>
    <col min="11" max="11" width="11" customWidth="1"/>
    <col min="12" max="12" width="14.85546875" customWidth="1"/>
    <col min="13" max="13" width="11" customWidth="1"/>
  </cols>
  <sheetData>
    <row r="1" spans="1:13" ht="18.75" customHeight="1" thickTop="1" x14ac:dyDescent="0.3">
      <c r="A1" s="110"/>
      <c r="B1" s="103"/>
      <c r="C1" s="113"/>
      <c r="D1" s="307"/>
      <c r="E1" s="671" t="s">
        <v>0</v>
      </c>
      <c r="F1" s="672"/>
      <c r="G1" s="672"/>
      <c r="H1" s="672"/>
      <c r="I1" s="672"/>
      <c r="J1" s="673"/>
    </row>
    <row r="2" spans="1:13" ht="15.75" customHeight="1" thickBot="1" x14ac:dyDescent="0.3">
      <c r="A2" s="115"/>
      <c r="B2" s="107"/>
      <c r="C2" s="114"/>
      <c r="D2" s="308"/>
      <c r="E2" s="674" t="s">
        <v>1</v>
      </c>
      <c r="F2" s="675"/>
      <c r="G2" s="675"/>
      <c r="H2" s="675"/>
      <c r="I2" s="675"/>
      <c r="J2" s="676"/>
    </row>
    <row r="3" spans="1:13" ht="38.25" customHeight="1" thickTop="1" thickBot="1" x14ac:dyDescent="0.3">
      <c r="A3" s="109"/>
      <c r="B3" s="19">
        <v>39813</v>
      </c>
      <c r="C3" s="11" t="s">
        <v>2</v>
      </c>
      <c r="D3" s="19">
        <v>40178</v>
      </c>
      <c r="E3" s="11" t="s">
        <v>2</v>
      </c>
      <c r="F3" s="20">
        <v>40543</v>
      </c>
      <c r="G3" s="11" t="s">
        <v>2</v>
      </c>
      <c r="H3" s="19">
        <v>40908</v>
      </c>
      <c r="I3" s="11" t="s">
        <v>2</v>
      </c>
      <c r="J3" s="19">
        <v>41274</v>
      </c>
      <c r="K3" s="11" t="s">
        <v>2</v>
      </c>
      <c r="L3" s="16" t="s">
        <v>3</v>
      </c>
      <c r="M3" s="21" t="s">
        <v>2</v>
      </c>
    </row>
    <row r="4" spans="1:13" s="5" customFormat="1" ht="20.25" thickTop="1" thickBot="1" x14ac:dyDescent="0.3">
      <c r="A4" s="413" t="s">
        <v>4</v>
      </c>
      <c r="B4" s="310"/>
      <c r="C4" s="312"/>
      <c r="D4" s="312"/>
      <c r="E4" s="312"/>
      <c r="F4" s="312"/>
      <c r="G4" s="312"/>
      <c r="H4" s="312"/>
      <c r="I4" s="312"/>
      <c r="J4" s="312"/>
      <c r="K4" s="312"/>
      <c r="L4" s="314"/>
      <c r="M4" s="314"/>
    </row>
    <row r="5" spans="1:13" ht="16.5" thickTop="1" thickBot="1" x14ac:dyDescent="0.3">
      <c r="A5" s="414"/>
      <c r="B5" s="316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</row>
    <row r="6" spans="1:13" s="6" customFormat="1" ht="17.25" thickTop="1" thickBot="1" x14ac:dyDescent="0.3">
      <c r="A6" s="415" t="s">
        <v>5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5"/>
      <c r="M6" s="315"/>
    </row>
    <row r="7" spans="1:13" ht="15.75" thickTop="1" x14ac:dyDescent="0.25">
      <c r="A7" s="202" t="s">
        <v>6</v>
      </c>
      <c r="B7" s="70">
        <v>90262</v>
      </c>
      <c r="C7" s="69">
        <f>B7/B$34</f>
        <v>4.9717433213990636E-2</v>
      </c>
      <c r="D7" s="70">
        <v>12282</v>
      </c>
      <c r="E7" s="69">
        <f t="shared" ref="E7:E18" si="0">D7/D$34</f>
        <v>7.1811962813541482E-3</v>
      </c>
      <c r="F7" s="70">
        <v>159774</v>
      </c>
      <c r="G7" s="69">
        <f t="shared" ref="G7:G18" si="1">F7/F$34</f>
        <v>8.7366345469279558E-2</v>
      </c>
      <c r="H7" s="70">
        <v>97996</v>
      </c>
      <c r="I7" s="69">
        <f t="shared" ref="I7:I18" si="2">H7/H$34</f>
        <v>4.9429395045257486E-2</v>
      </c>
      <c r="J7" s="195">
        <v>267321</v>
      </c>
      <c r="K7" s="69">
        <f t="shared" ref="K7:K18" si="3">J7/J$34</f>
        <v>0.11565658619654277</v>
      </c>
      <c r="L7" s="70">
        <v>120371</v>
      </c>
      <c r="M7" s="69">
        <f t="shared" ref="M7:M18" si="4">L7/L$34</f>
        <v>4.5791615452535107E-2</v>
      </c>
    </row>
    <row r="8" spans="1:13" x14ac:dyDescent="0.25">
      <c r="A8" s="203" t="s">
        <v>7</v>
      </c>
      <c r="B8" s="197">
        <v>4495</v>
      </c>
      <c r="C8" s="198">
        <f t="shared" ref="C8:C34" si="5">B8/B$34</f>
        <v>2.4759019553841919E-3</v>
      </c>
      <c r="D8" s="197">
        <v>4248</v>
      </c>
      <c r="E8" s="198">
        <f t="shared" si="0"/>
        <v>2.4837747763550256E-3</v>
      </c>
      <c r="F8" s="197">
        <v>5121</v>
      </c>
      <c r="G8" s="198">
        <f t="shared" si="1"/>
        <v>2.8002244116575952E-3</v>
      </c>
      <c r="H8" s="197">
        <v>7371</v>
      </c>
      <c r="I8" s="198">
        <f t="shared" si="2"/>
        <v>3.7179483946139938E-3</v>
      </c>
      <c r="J8" s="199">
        <v>5330</v>
      </c>
      <c r="K8" s="198">
        <f t="shared" si="3"/>
        <v>2.3060276013765211E-3</v>
      </c>
      <c r="L8" s="25">
        <v>6165</v>
      </c>
      <c r="M8" s="32">
        <f t="shared" si="4"/>
        <v>2.3452933785120911E-3</v>
      </c>
    </row>
    <row r="9" spans="1:13" x14ac:dyDescent="0.25">
      <c r="A9" s="203" t="s">
        <v>8</v>
      </c>
      <c r="B9" s="197">
        <v>1096</v>
      </c>
      <c r="C9" s="198">
        <f t="shared" si="5"/>
        <v>6.036904434040209E-4</v>
      </c>
      <c r="D9" s="197">
        <v>3135</v>
      </c>
      <c r="E9" s="198">
        <f t="shared" si="0"/>
        <v>1.8330117523241536E-3</v>
      </c>
      <c r="F9" s="197">
        <v>3360</v>
      </c>
      <c r="G9" s="198">
        <f t="shared" si="1"/>
        <v>1.8372884247548368E-3</v>
      </c>
      <c r="H9" s="197">
        <v>2150</v>
      </c>
      <c r="I9" s="198">
        <f t="shared" si="2"/>
        <v>1.0844646653669905E-3</v>
      </c>
      <c r="J9" s="199">
        <v>2237</v>
      </c>
      <c r="K9" s="198">
        <f t="shared" si="3"/>
        <v>9.6783935164714398E-4</v>
      </c>
      <c r="L9" s="25">
        <v>11840</v>
      </c>
      <c r="M9" s="32">
        <f t="shared" si="4"/>
        <v>4.5041806328602043E-3</v>
      </c>
    </row>
    <row r="10" spans="1:13" x14ac:dyDescent="0.25">
      <c r="A10" s="205" t="s">
        <v>9</v>
      </c>
      <c r="B10" s="197">
        <v>12587</v>
      </c>
      <c r="C10" s="198">
        <f t="shared" si="5"/>
        <v>6.9330762875240981E-3</v>
      </c>
      <c r="D10" s="197">
        <v>11479</v>
      </c>
      <c r="E10" s="198">
        <f t="shared" si="0"/>
        <v>6.711688007951821E-3</v>
      </c>
      <c r="F10" s="197">
        <v>9534</v>
      </c>
      <c r="G10" s="198">
        <f t="shared" si="1"/>
        <v>5.2133059052418499E-3</v>
      </c>
      <c r="H10" s="197">
        <v>9335</v>
      </c>
      <c r="I10" s="198">
        <f t="shared" si="2"/>
        <v>4.7085942563724909E-3</v>
      </c>
      <c r="J10" s="199">
        <v>9398</v>
      </c>
      <c r="K10" s="198">
        <f t="shared" si="3"/>
        <v>4.0660501684308716E-3</v>
      </c>
      <c r="L10" s="25">
        <v>13318</v>
      </c>
      <c r="M10" s="198">
        <f t="shared" si="4"/>
        <v>5.0664423706446114E-3</v>
      </c>
    </row>
    <row r="11" spans="1:13" x14ac:dyDescent="0.25">
      <c r="A11" s="205" t="s">
        <v>10</v>
      </c>
      <c r="B11" s="25">
        <v>4957</v>
      </c>
      <c r="C11" s="32">
        <f t="shared" si="5"/>
        <v>2.7303773065271274E-3</v>
      </c>
      <c r="D11" s="25">
        <v>419</v>
      </c>
      <c r="E11" s="32">
        <f t="shared" si="0"/>
        <v>2.4498625972051689E-4</v>
      </c>
      <c r="F11" s="25">
        <v>1297</v>
      </c>
      <c r="G11" s="32">
        <f t="shared" si="1"/>
        <v>7.0921520443661414E-4</v>
      </c>
      <c r="H11" s="25">
        <v>3585</v>
      </c>
      <c r="I11" s="32">
        <f t="shared" si="2"/>
        <v>1.8082817792282142E-3</v>
      </c>
      <c r="J11" s="27">
        <v>2616</v>
      </c>
      <c r="K11" s="32">
        <f t="shared" si="3"/>
        <v>1.1318139221765439E-3</v>
      </c>
      <c r="L11" s="197">
        <v>2431</v>
      </c>
      <c r="M11" s="32">
        <f t="shared" si="4"/>
        <v>9.2480262825026655E-4</v>
      </c>
    </row>
    <row r="12" spans="1:13" x14ac:dyDescent="0.25">
      <c r="A12" s="205" t="s">
        <v>11</v>
      </c>
      <c r="B12" s="25">
        <v>2636</v>
      </c>
      <c r="C12" s="32">
        <f t="shared" si="5"/>
        <v>1.4519416138804738E-3</v>
      </c>
      <c r="D12" s="25">
        <v>44</v>
      </c>
      <c r="E12" s="32">
        <f t="shared" si="0"/>
        <v>2.5726480734374086E-5</v>
      </c>
      <c r="F12" s="25">
        <v>458</v>
      </c>
      <c r="G12" s="32">
        <f t="shared" si="1"/>
        <v>2.5043991027908191E-4</v>
      </c>
      <c r="H12" s="25">
        <v>0</v>
      </c>
      <c r="I12" s="32">
        <f t="shared" si="2"/>
        <v>0</v>
      </c>
      <c r="J12" s="27">
        <v>165</v>
      </c>
      <c r="K12" s="32">
        <f t="shared" si="3"/>
        <v>7.1387346008841641E-5</v>
      </c>
      <c r="L12" s="197">
        <v>0</v>
      </c>
      <c r="M12" s="32">
        <f t="shared" si="4"/>
        <v>0</v>
      </c>
    </row>
    <row r="13" spans="1:13" x14ac:dyDescent="0.25">
      <c r="A13" s="205" t="s">
        <v>12</v>
      </c>
      <c r="B13" s="25">
        <v>3148</v>
      </c>
      <c r="C13" s="32">
        <f t="shared" si="5"/>
        <v>1.7339575874414763E-3</v>
      </c>
      <c r="D13" s="25">
        <v>676</v>
      </c>
      <c r="E13" s="32">
        <f t="shared" si="0"/>
        <v>3.9525229491902005E-4</v>
      </c>
      <c r="F13" s="25">
        <v>747</v>
      </c>
      <c r="G13" s="32">
        <f t="shared" si="1"/>
        <v>4.0846858728924495E-4</v>
      </c>
      <c r="H13" s="25">
        <v>3076</v>
      </c>
      <c r="I13" s="32">
        <f t="shared" si="2"/>
        <v>1.5515410747297036E-3</v>
      </c>
      <c r="J13" s="27">
        <v>1454</v>
      </c>
      <c r="K13" s="32">
        <f t="shared" si="3"/>
        <v>6.2907394604155007E-4</v>
      </c>
      <c r="L13" s="197">
        <v>1651</v>
      </c>
      <c r="M13" s="32">
        <f t="shared" si="4"/>
        <v>6.280745122341383E-4</v>
      </c>
    </row>
    <row r="14" spans="1:13" x14ac:dyDescent="0.25">
      <c r="A14" s="205" t="s">
        <v>13</v>
      </c>
      <c r="B14" s="25">
        <v>218</v>
      </c>
      <c r="C14" s="32">
        <f t="shared" si="5"/>
        <v>1.2007711374277058E-4</v>
      </c>
      <c r="D14" s="25">
        <v>3218</v>
      </c>
      <c r="E14" s="32">
        <f t="shared" si="0"/>
        <v>1.8815412500730866E-3</v>
      </c>
      <c r="F14" s="25">
        <v>22413</v>
      </c>
      <c r="G14" s="32">
        <f t="shared" si="1"/>
        <v>1.2255698054770879E-2</v>
      </c>
      <c r="H14" s="25">
        <v>13428</v>
      </c>
      <c r="I14" s="32">
        <f t="shared" si="2"/>
        <v>6.7731123379292778E-3</v>
      </c>
      <c r="J14" s="27">
        <v>5100</v>
      </c>
      <c r="K14" s="32">
        <f t="shared" si="3"/>
        <v>2.2065179675460145E-3</v>
      </c>
      <c r="L14" s="25">
        <v>5028</v>
      </c>
      <c r="M14" s="32">
        <f t="shared" si="4"/>
        <v>1.9127550863193502E-3</v>
      </c>
    </row>
    <row r="15" spans="1:13" x14ac:dyDescent="0.25">
      <c r="A15" s="205" t="s">
        <v>14</v>
      </c>
      <c r="B15" s="25">
        <v>2096</v>
      </c>
      <c r="C15" s="32">
        <f t="shared" si="5"/>
        <v>1.1545028917653538E-3</v>
      </c>
      <c r="D15" s="25">
        <v>1665</v>
      </c>
      <c r="E15" s="32">
        <f t="shared" si="0"/>
        <v>9.7351341869847396E-4</v>
      </c>
      <c r="F15" s="25">
        <v>2428</v>
      </c>
      <c r="G15" s="32">
        <f t="shared" si="1"/>
        <v>1.3276596116978405E-3</v>
      </c>
      <c r="H15" s="25">
        <v>1910</v>
      </c>
      <c r="I15" s="32">
        <f t="shared" si="2"/>
        <v>9.6340814458183795E-4</v>
      </c>
      <c r="J15" s="27">
        <v>1862</v>
      </c>
      <c r="K15" s="32">
        <f t="shared" si="3"/>
        <v>8.0559538344523117E-4</v>
      </c>
      <c r="L15" s="25">
        <v>3155</v>
      </c>
      <c r="M15" s="32">
        <f t="shared" si="4"/>
        <v>1.200227187219083E-3</v>
      </c>
    </row>
    <row r="16" spans="1:13" x14ac:dyDescent="0.25">
      <c r="A16" s="205" t="s">
        <v>15</v>
      </c>
      <c r="B16" s="25">
        <v>0</v>
      </c>
      <c r="C16" s="32">
        <f t="shared" si="5"/>
        <v>0</v>
      </c>
      <c r="D16" s="25">
        <v>8188</v>
      </c>
      <c r="E16" s="32">
        <f t="shared" si="0"/>
        <v>4.7874641875694322E-3</v>
      </c>
      <c r="F16" s="25">
        <v>6080</v>
      </c>
      <c r="G16" s="32">
        <f t="shared" si="1"/>
        <v>3.3246171495563714E-3</v>
      </c>
      <c r="H16" s="65">
        <v>0</v>
      </c>
      <c r="I16" s="32">
        <f t="shared" si="2"/>
        <v>0</v>
      </c>
      <c r="J16" s="27">
        <v>0</v>
      </c>
      <c r="K16" s="32">
        <f t="shared" si="3"/>
        <v>0</v>
      </c>
      <c r="L16" s="25">
        <v>0</v>
      </c>
      <c r="M16" s="32">
        <f t="shared" si="4"/>
        <v>0</v>
      </c>
    </row>
    <row r="17" spans="1:14" ht="15.75" thickBot="1" x14ac:dyDescent="0.3">
      <c r="A17" s="200" t="s">
        <v>16</v>
      </c>
      <c r="B17" s="33">
        <v>0</v>
      </c>
      <c r="C17" s="172">
        <f t="shared" si="5"/>
        <v>0</v>
      </c>
      <c r="D17" s="33">
        <v>2951</v>
      </c>
      <c r="E17" s="172">
        <f t="shared" si="0"/>
        <v>1.725428287434953E-3</v>
      </c>
      <c r="F17" s="33">
        <v>0</v>
      </c>
      <c r="G17" s="172">
        <f t="shared" si="1"/>
        <v>0</v>
      </c>
      <c r="H17" s="33">
        <v>0</v>
      </c>
      <c r="I17" s="172">
        <f t="shared" si="2"/>
        <v>0</v>
      </c>
      <c r="J17" s="37">
        <v>4441</v>
      </c>
      <c r="K17" s="172">
        <f t="shared" si="3"/>
        <v>1.9214012340925198E-3</v>
      </c>
      <c r="L17" s="33">
        <v>0</v>
      </c>
      <c r="M17" s="172">
        <f t="shared" si="4"/>
        <v>0</v>
      </c>
    </row>
    <row r="18" spans="1:14" s="6" customFormat="1" ht="17.25" thickTop="1" thickBot="1" x14ac:dyDescent="0.3">
      <c r="A18" s="175" t="s">
        <v>17</v>
      </c>
      <c r="B18" s="14">
        <f>SUM(B7:B17)</f>
        <v>121495</v>
      </c>
      <c r="C18" s="56">
        <f t="shared" si="5"/>
        <v>6.692095841366015E-2</v>
      </c>
      <c r="D18" s="14">
        <f>SUM(D7:D17)</f>
        <v>48305</v>
      </c>
      <c r="E18" s="63">
        <f t="shared" si="0"/>
        <v>2.8243582997135006E-2</v>
      </c>
      <c r="F18" s="14">
        <f>SUM(F7:F17)</f>
        <v>211212</v>
      </c>
      <c r="G18" s="63">
        <f t="shared" si="1"/>
        <v>0.11549326272896387</v>
      </c>
      <c r="H18" s="14">
        <f>SUM(H7:H17)</f>
        <v>138851</v>
      </c>
      <c r="I18" s="63">
        <f t="shared" si="2"/>
        <v>7.0036745698079994E-2</v>
      </c>
      <c r="J18" s="14">
        <f>SUM(J7:J17)</f>
        <v>299924</v>
      </c>
      <c r="K18" s="63">
        <f t="shared" si="3"/>
        <v>0.12976229311730803</v>
      </c>
      <c r="L18" s="14">
        <f>SUM(L7:L17)</f>
        <v>163959</v>
      </c>
      <c r="M18" s="56">
        <f t="shared" si="4"/>
        <v>6.2373391248574848E-2</v>
      </c>
    </row>
    <row r="19" spans="1:14" ht="16.5" thickTop="1" thickBot="1" x14ac:dyDescent="0.3">
      <c r="A19" s="416"/>
      <c r="B19" s="50"/>
      <c r="C19" s="321"/>
      <c r="D19" s="214"/>
      <c r="E19" s="323"/>
      <c r="F19" s="214"/>
      <c r="G19" s="323"/>
      <c r="H19" s="50"/>
      <c r="I19" s="321"/>
      <c r="J19" s="50"/>
      <c r="K19" s="321"/>
      <c r="L19" s="318"/>
      <c r="M19" s="319"/>
      <c r="N19" s="87"/>
    </row>
    <row r="20" spans="1:14" s="6" customFormat="1" ht="17.25" thickTop="1" thickBot="1" x14ac:dyDescent="0.3">
      <c r="A20" s="175" t="s">
        <v>18</v>
      </c>
      <c r="B20" s="325"/>
      <c r="C20" s="322"/>
      <c r="D20" s="324"/>
      <c r="E20" s="317"/>
      <c r="F20" s="324"/>
      <c r="G20" s="317"/>
      <c r="H20" s="311"/>
      <c r="I20" s="322"/>
      <c r="J20" s="116"/>
      <c r="K20" s="322"/>
      <c r="L20" s="309"/>
      <c r="M20" s="320"/>
      <c r="N20" s="297"/>
    </row>
    <row r="21" spans="1:14" ht="15.75" thickTop="1" x14ac:dyDescent="0.25">
      <c r="A21" s="202" t="s">
        <v>19</v>
      </c>
      <c r="B21" s="194">
        <v>0</v>
      </c>
      <c r="C21" s="24">
        <f t="shared" si="5"/>
        <v>0</v>
      </c>
      <c r="D21" s="195">
        <v>94455</v>
      </c>
      <c r="E21" s="24">
        <f>D21/D$34</f>
        <v>5.5227153131029647E-2</v>
      </c>
      <c r="F21" s="195">
        <v>3830</v>
      </c>
      <c r="G21" s="24">
        <f>F21/F$34</f>
        <v>2.094290079408043E-3</v>
      </c>
      <c r="H21" s="195">
        <v>148373</v>
      </c>
      <c r="I21" s="24">
        <f>H21/H$34</f>
        <v>7.4839663160230913E-2</v>
      </c>
      <c r="J21" s="195">
        <v>339552</v>
      </c>
      <c r="K21" s="24">
        <f>J21/J$34</f>
        <v>0.14690737037572241</v>
      </c>
      <c r="L21" s="70">
        <v>231134</v>
      </c>
      <c r="M21" s="24">
        <f>L21/L$34</f>
        <v>8.7928149188810006E-2</v>
      </c>
    </row>
    <row r="22" spans="1:14" ht="15.75" thickBot="1" x14ac:dyDescent="0.3">
      <c r="A22" s="200" t="s">
        <v>20</v>
      </c>
      <c r="B22" s="37">
        <v>1572116</v>
      </c>
      <c r="C22" s="34">
        <f t="shared" si="5"/>
        <v>0.86594106306802532</v>
      </c>
      <c r="D22" s="37">
        <v>1465644</v>
      </c>
      <c r="E22" s="34">
        <f>D22/D$34</f>
        <v>0.85695141203297664</v>
      </c>
      <c r="F22" s="37">
        <v>1531610</v>
      </c>
      <c r="G22" s="34">
        <f>F22/F$34</f>
        <v>0.83750277507105819</v>
      </c>
      <c r="H22" s="168">
        <v>1618887</v>
      </c>
      <c r="I22" s="77">
        <f>H22/H$34</f>
        <v>0.81657011568463767</v>
      </c>
      <c r="J22" s="168">
        <v>1582345</v>
      </c>
      <c r="K22" s="30">
        <f>J22/J$34</f>
        <v>0.68460248497188203</v>
      </c>
      <c r="L22" s="76">
        <v>2113826</v>
      </c>
      <c r="M22" s="30">
        <f>L22/L$34</f>
        <v>0.80414308534090828</v>
      </c>
    </row>
    <row r="23" spans="1:14" s="8" customFormat="1" ht="17.25" thickTop="1" thickBot="1" x14ac:dyDescent="0.3">
      <c r="A23" s="175" t="s">
        <v>21</v>
      </c>
      <c r="B23" s="14">
        <f>SUM(B21:B22)</f>
        <v>1572116</v>
      </c>
      <c r="C23" s="56">
        <f t="shared" si="5"/>
        <v>0.86594106306802532</v>
      </c>
      <c r="D23" s="14">
        <f>SUM(D21:D22)</f>
        <v>1560099</v>
      </c>
      <c r="E23" s="63">
        <f>D23/D$34</f>
        <v>0.91217856516400631</v>
      </c>
      <c r="F23" s="14">
        <f>SUM(F21:F22)</f>
        <v>1535440</v>
      </c>
      <c r="G23" s="63">
        <f>F23/F$34</f>
        <v>0.83959706515046628</v>
      </c>
      <c r="H23" s="15">
        <f>SUM(H21:H22)</f>
        <v>1767260</v>
      </c>
      <c r="I23" s="63">
        <f>H23/H$34</f>
        <v>0.89140977884486861</v>
      </c>
      <c r="J23" s="15">
        <f>SUM(J21:J22)</f>
        <v>1921897</v>
      </c>
      <c r="K23" s="56">
        <f>J23/J$34</f>
        <v>0.83150985534760447</v>
      </c>
      <c r="L23" s="14">
        <f>SUM(L21:L22)</f>
        <v>2344960</v>
      </c>
      <c r="M23" s="56">
        <f>L23/L$34</f>
        <v>0.89207123452971826</v>
      </c>
    </row>
    <row r="24" spans="1:14" ht="16.5" thickTop="1" thickBot="1" x14ac:dyDescent="0.3">
      <c r="A24" s="417"/>
      <c r="B24" s="131"/>
      <c r="C24" s="137"/>
      <c r="D24" s="134"/>
      <c r="E24" s="129"/>
      <c r="F24" s="133"/>
      <c r="G24" s="120"/>
      <c r="H24" s="304"/>
      <c r="I24" s="129"/>
      <c r="J24" s="133"/>
      <c r="K24" s="129"/>
      <c r="L24" s="132"/>
      <c r="M24" s="124"/>
      <c r="N24" s="87"/>
    </row>
    <row r="25" spans="1:14" s="6" customFormat="1" ht="17.25" thickTop="1" thickBot="1" x14ac:dyDescent="0.3">
      <c r="A25" s="12" t="s">
        <v>22</v>
      </c>
      <c r="B25" s="118"/>
      <c r="C25" s="136"/>
      <c r="D25" s="118"/>
      <c r="E25" s="130"/>
      <c r="F25" s="118"/>
      <c r="G25" s="136"/>
      <c r="H25" s="118"/>
      <c r="I25" s="122"/>
      <c r="J25" s="118"/>
      <c r="K25" s="130"/>
      <c r="L25" s="135"/>
      <c r="M25" s="130"/>
    </row>
    <row r="26" spans="1:14" ht="15.75" thickTop="1" x14ac:dyDescent="0.25">
      <c r="A26" s="202" t="s">
        <v>15</v>
      </c>
      <c r="B26" s="195">
        <v>35864</v>
      </c>
      <c r="C26" s="24">
        <f t="shared" si="5"/>
        <v>1.9754337648030845E-2</v>
      </c>
      <c r="D26" s="195">
        <v>6190</v>
      </c>
      <c r="E26" s="24">
        <f t="shared" ref="E26:E32" si="6">D26/D$34</f>
        <v>3.6192480851312634E-3</v>
      </c>
      <c r="F26" s="194">
        <v>0</v>
      </c>
      <c r="G26" s="24">
        <f t="shared" ref="G26:G32" si="7">F26/F$34</f>
        <v>0</v>
      </c>
      <c r="H26" s="194">
        <v>0</v>
      </c>
      <c r="I26" s="24">
        <f t="shared" ref="I26:I31" si="8">H26/H$34</f>
        <v>0</v>
      </c>
      <c r="J26" s="71">
        <v>0</v>
      </c>
      <c r="K26" s="69">
        <f t="shared" ref="K26:K32" si="9">J26/J$34</f>
        <v>0</v>
      </c>
      <c r="L26" s="70">
        <v>23470</v>
      </c>
      <c r="M26" s="69">
        <f t="shared" ref="M26:M32" si="10">L26/L$34</f>
        <v>8.9284729267929894E-3</v>
      </c>
    </row>
    <row r="27" spans="1:14" x14ac:dyDescent="0.25">
      <c r="A27" s="204" t="s">
        <v>23</v>
      </c>
      <c r="B27" s="168">
        <v>34408</v>
      </c>
      <c r="C27" s="30">
        <f t="shared" si="5"/>
        <v>1.8952354723216745E-2</v>
      </c>
      <c r="D27" s="168">
        <v>27519</v>
      </c>
      <c r="E27" s="30">
        <f t="shared" si="6"/>
        <v>1.60901596211191E-2</v>
      </c>
      <c r="F27" s="168">
        <v>30867</v>
      </c>
      <c r="G27" s="30">
        <f t="shared" si="7"/>
        <v>1.6878446966341533E-2</v>
      </c>
      <c r="H27" s="168">
        <v>32641</v>
      </c>
      <c r="I27" s="30">
        <f t="shared" si="8"/>
        <v>1.6464191228950667E-2</v>
      </c>
      <c r="J27" s="76">
        <v>34099</v>
      </c>
      <c r="K27" s="77">
        <f t="shared" si="9"/>
        <v>1.4752952191245401E-2</v>
      </c>
      <c r="L27" s="76">
        <v>31457</v>
      </c>
      <c r="M27" s="77">
        <f t="shared" si="10"/>
        <v>1.1966892750665831E-2</v>
      </c>
    </row>
    <row r="28" spans="1:14" x14ac:dyDescent="0.25">
      <c r="A28" s="203" t="s">
        <v>24</v>
      </c>
      <c r="B28" s="27">
        <v>0</v>
      </c>
      <c r="C28" s="32">
        <f t="shared" si="5"/>
        <v>0</v>
      </c>
      <c r="D28" s="27">
        <v>0</v>
      </c>
      <c r="E28" s="26">
        <f t="shared" si="6"/>
        <v>0</v>
      </c>
      <c r="F28" s="27">
        <v>0</v>
      </c>
      <c r="G28" s="26">
        <f t="shared" si="7"/>
        <v>0</v>
      </c>
      <c r="H28" s="27">
        <v>0</v>
      </c>
      <c r="I28" s="26">
        <f t="shared" si="8"/>
        <v>0</v>
      </c>
      <c r="J28" s="25">
        <v>0</v>
      </c>
      <c r="K28" s="32">
        <f t="shared" si="9"/>
        <v>0</v>
      </c>
      <c r="L28" s="25">
        <v>6735</v>
      </c>
      <c r="M28" s="32">
        <f t="shared" si="10"/>
        <v>2.5621331556008003E-3</v>
      </c>
    </row>
    <row r="29" spans="1:14" x14ac:dyDescent="0.25">
      <c r="A29" s="203" t="s">
        <v>10</v>
      </c>
      <c r="B29" s="27">
        <v>7887</v>
      </c>
      <c r="C29" s="32">
        <f t="shared" si="5"/>
        <v>4.3442577802258334E-3</v>
      </c>
      <c r="D29" s="27">
        <v>7887</v>
      </c>
      <c r="E29" s="26">
        <f t="shared" si="6"/>
        <v>4.6114716716365552E-3</v>
      </c>
      <c r="F29" s="196">
        <v>0</v>
      </c>
      <c r="G29" s="26">
        <f t="shared" si="7"/>
        <v>0</v>
      </c>
      <c r="H29" s="27">
        <v>0</v>
      </c>
      <c r="I29" s="26">
        <f t="shared" si="8"/>
        <v>0</v>
      </c>
      <c r="J29" s="25">
        <v>0</v>
      </c>
      <c r="K29" s="32">
        <f t="shared" si="9"/>
        <v>0</v>
      </c>
      <c r="L29" s="65">
        <v>0</v>
      </c>
      <c r="M29" s="32">
        <f t="shared" si="10"/>
        <v>0</v>
      </c>
    </row>
    <row r="30" spans="1:14" x14ac:dyDescent="0.25">
      <c r="A30" s="203" t="s">
        <v>7</v>
      </c>
      <c r="B30" s="27">
        <v>43056</v>
      </c>
      <c r="C30" s="32">
        <f t="shared" si="5"/>
        <v>2.3715780776645552E-2</v>
      </c>
      <c r="D30" s="27">
        <v>40252</v>
      </c>
      <c r="E30" s="26">
        <f t="shared" si="6"/>
        <v>2.3535052330000583E-2</v>
      </c>
      <c r="F30" s="27">
        <v>36814</v>
      </c>
      <c r="G30" s="26">
        <f t="shared" si="7"/>
        <v>2.0130338115751358E-2</v>
      </c>
      <c r="H30" s="27">
        <v>38707</v>
      </c>
      <c r="I30" s="26">
        <f t="shared" si="8"/>
        <v>1.9523894791795393E-2</v>
      </c>
      <c r="J30" s="25">
        <v>41992</v>
      </c>
      <c r="K30" s="32">
        <f t="shared" si="9"/>
        <v>1.8167863233959265E-2</v>
      </c>
      <c r="L30" s="25">
        <v>48533</v>
      </c>
      <c r="M30" s="32">
        <f t="shared" si="10"/>
        <v>1.8462955967449686E-2</v>
      </c>
    </row>
    <row r="31" spans="1:14" ht="15.75" thickBot="1" x14ac:dyDescent="0.3">
      <c r="A31" s="200" t="s">
        <v>13</v>
      </c>
      <c r="B31" s="37">
        <v>674</v>
      </c>
      <c r="C31" s="172">
        <f t="shared" si="5"/>
        <v>3.7124759019553844E-4</v>
      </c>
      <c r="D31" s="37">
        <v>20048</v>
      </c>
      <c r="E31" s="34">
        <f t="shared" si="6"/>
        <v>1.1721920130971175E-2</v>
      </c>
      <c r="F31" s="37">
        <v>14449</v>
      </c>
      <c r="G31" s="34">
        <f t="shared" si="7"/>
        <v>7.9008870384769756E-3</v>
      </c>
      <c r="H31" s="37">
        <v>5086</v>
      </c>
      <c r="I31" s="34">
        <f t="shared" si="8"/>
        <v>2.5653894363053551E-3</v>
      </c>
      <c r="J31" s="33">
        <v>13422</v>
      </c>
      <c r="K31" s="172">
        <f t="shared" si="9"/>
        <v>5.8070361098828639E-3</v>
      </c>
      <c r="L31" s="33">
        <v>9555</v>
      </c>
      <c r="M31" s="172">
        <f t="shared" si="10"/>
        <v>3.634919421197572E-3</v>
      </c>
    </row>
    <row r="32" spans="1:14" s="6" customFormat="1" ht="17.25" thickTop="1" thickBot="1" x14ac:dyDescent="0.3">
      <c r="A32" s="12" t="s">
        <v>25</v>
      </c>
      <c r="B32" s="14">
        <f>SUM(B26:B31)</f>
        <v>121889</v>
      </c>
      <c r="C32" s="180">
        <f t="shared" si="5"/>
        <v>6.7137978518314517E-2</v>
      </c>
      <c r="D32" s="192">
        <f>SUM(D26:D31)</f>
        <v>101896</v>
      </c>
      <c r="E32" s="180">
        <f t="shared" si="6"/>
        <v>5.9577851838858678E-2</v>
      </c>
      <c r="F32" s="192">
        <f>SUM(F26:F31)</f>
        <v>82130</v>
      </c>
      <c r="G32" s="180">
        <f t="shared" si="7"/>
        <v>4.4909672120569864E-2</v>
      </c>
      <c r="H32" s="192">
        <f>SUM(H26:H31)</f>
        <v>76434</v>
      </c>
      <c r="I32" s="180">
        <f>H32/H34</f>
        <v>3.8553475457051414E-2</v>
      </c>
      <c r="J32" s="177">
        <f>SUM(J26:J31)</f>
        <v>89513</v>
      </c>
      <c r="K32" s="178">
        <f t="shared" si="9"/>
        <v>3.872785153508753E-2</v>
      </c>
      <c r="L32" s="177">
        <f>SUM(L26:L31)</f>
        <v>119750</v>
      </c>
      <c r="M32" s="178">
        <f t="shared" si="10"/>
        <v>4.5555374221706878E-2</v>
      </c>
    </row>
    <row r="33" spans="1:13" ht="16.5" thickTop="1" thickBot="1" x14ac:dyDescent="0.3">
      <c r="A33" s="418"/>
      <c r="B33" s="299"/>
      <c r="C33" s="138"/>
      <c r="D33" s="299"/>
      <c r="E33" s="141"/>
      <c r="F33" s="139"/>
      <c r="G33" s="140"/>
      <c r="H33" s="139"/>
      <c r="I33" s="120"/>
      <c r="J33" s="139"/>
      <c r="K33" s="140"/>
      <c r="L33" s="139"/>
      <c r="M33" s="140"/>
    </row>
    <row r="34" spans="1:13" s="10" customFormat="1" ht="20.25" thickTop="1" thickBot="1" x14ac:dyDescent="0.3">
      <c r="A34" s="183" t="s">
        <v>26</v>
      </c>
      <c r="B34" s="184">
        <f>SUM(B18+B23+B32)</f>
        <v>1815500</v>
      </c>
      <c r="C34" s="185">
        <f t="shared" si="5"/>
        <v>1</v>
      </c>
      <c r="D34" s="186">
        <f>(D18+D23+D32)</f>
        <v>1710300</v>
      </c>
      <c r="E34" s="185">
        <f>D34/D$34</f>
        <v>1</v>
      </c>
      <c r="F34" s="186">
        <f>SUM(F18+F23+F32)</f>
        <v>1828782</v>
      </c>
      <c r="G34" s="185">
        <f>F34/F$34</f>
        <v>1</v>
      </c>
      <c r="H34" s="186">
        <f>SUM(H18+H23+H32)</f>
        <v>1982545</v>
      </c>
      <c r="I34" s="185">
        <f>H34/H$34</f>
        <v>1</v>
      </c>
      <c r="J34" s="184">
        <f>SUM(J18+J23+J32)</f>
        <v>2311334</v>
      </c>
      <c r="K34" s="185">
        <f>J34/J$34</f>
        <v>1</v>
      </c>
      <c r="L34" s="186">
        <f>SUM(L18+L23+L32)</f>
        <v>2628669</v>
      </c>
      <c r="M34" s="185">
        <f>L34/L$34</f>
        <v>1</v>
      </c>
    </row>
    <row r="35" spans="1:13" ht="16.5" thickTop="1" thickBot="1" x14ac:dyDescent="0.3">
      <c r="A35" s="418"/>
      <c r="B35" s="296"/>
      <c r="C35" s="41"/>
      <c r="D35" s="296"/>
      <c r="E35" s="143"/>
      <c r="F35" s="143"/>
      <c r="G35" s="143"/>
      <c r="H35" s="131"/>
      <c r="I35" s="143"/>
      <c r="J35" s="142"/>
      <c r="K35" s="142"/>
      <c r="L35" s="142"/>
      <c r="M35" s="126"/>
    </row>
    <row r="36" spans="1:13" s="7" customFormat="1" ht="20.25" thickTop="1" thickBot="1" x14ac:dyDescent="0.35">
      <c r="A36" s="193" t="s">
        <v>27</v>
      </c>
      <c r="B36" s="146"/>
      <c r="C36" s="146"/>
      <c r="D36" s="148"/>
      <c r="E36" s="146"/>
      <c r="F36" s="146"/>
      <c r="G36" s="147"/>
      <c r="H36" s="146"/>
      <c r="I36" s="147"/>
      <c r="J36" s="145"/>
      <c r="K36" s="305"/>
      <c r="L36" s="306"/>
      <c r="M36" s="144"/>
    </row>
    <row r="37" spans="1:13" ht="16.5" thickTop="1" thickBot="1" x14ac:dyDescent="0.3">
      <c r="A37" s="418"/>
      <c r="B37" s="300"/>
      <c r="C37" s="152"/>
      <c r="D37" s="119"/>
      <c r="E37" s="117"/>
      <c r="F37" s="117"/>
      <c r="G37" s="151"/>
      <c r="H37" s="150"/>
      <c r="I37" s="151"/>
      <c r="J37" s="149"/>
      <c r="K37" s="149"/>
      <c r="L37" s="149"/>
      <c r="M37" s="149"/>
    </row>
    <row r="38" spans="1:13" s="6" customFormat="1" ht="17.25" thickTop="1" thickBot="1" x14ac:dyDescent="0.3">
      <c r="A38" s="174" t="s">
        <v>28</v>
      </c>
      <c r="B38" s="118"/>
      <c r="C38" s="116"/>
      <c r="D38" s="298"/>
      <c r="E38" s="153"/>
      <c r="F38" s="153"/>
      <c r="G38" s="118"/>
      <c r="H38" s="118"/>
      <c r="I38" s="118"/>
      <c r="J38" s="127"/>
      <c r="K38" s="125"/>
      <c r="L38" s="298"/>
      <c r="M38" s="127"/>
    </row>
    <row r="39" spans="1:13" ht="15.75" thickTop="1" x14ac:dyDescent="0.25">
      <c r="A39" s="419" t="s">
        <v>29</v>
      </c>
      <c r="B39" s="165">
        <v>94735</v>
      </c>
      <c r="C39" s="22">
        <f>B39/B$63</f>
        <v>5.2181217295510882E-2</v>
      </c>
      <c r="D39" s="166">
        <v>93856</v>
      </c>
      <c r="E39" s="164">
        <f t="shared" ref="E39:E47" si="11">D39/D$63</f>
        <v>5.487692217739578E-2</v>
      </c>
      <c r="F39" s="166">
        <v>114597</v>
      </c>
      <c r="G39" s="164">
        <f t="shared" ref="G39:G47" si="12">F39/F$63</f>
        <v>6.2663018336794649E-2</v>
      </c>
      <c r="H39" s="166">
        <v>153176</v>
      </c>
      <c r="I39" s="164">
        <f t="shared" ref="I39:I47" si="13">H39/H$63</f>
        <v>7.7262306782443779E-2</v>
      </c>
      <c r="J39" s="165">
        <v>162169</v>
      </c>
      <c r="K39" s="164">
        <f t="shared" ref="K39:K47" si="14">J39/J$63</f>
        <v>7.0162512211562666E-2</v>
      </c>
      <c r="L39" s="163">
        <v>201532</v>
      </c>
      <c r="M39" s="164">
        <f t="shared" ref="M39:M47" si="15">L39/L$63</f>
        <v>7.6666936765336369E-2</v>
      </c>
    </row>
    <row r="40" spans="1:13" x14ac:dyDescent="0.25">
      <c r="A40" s="205" t="s">
        <v>30</v>
      </c>
      <c r="B40" s="25">
        <v>3826</v>
      </c>
      <c r="C40" s="32">
        <f t="shared" ref="C40:C63" si="16">B40/B$63</f>
        <v>2.1074084274304598E-3</v>
      </c>
      <c r="D40" s="167">
        <v>8822</v>
      </c>
      <c r="E40" s="32">
        <f t="shared" si="11"/>
        <v>5.1581593872420039E-3</v>
      </c>
      <c r="F40" s="167">
        <v>4128</v>
      </c>
      <c r="G40" s="32">
        <f t="shared" si="12"/>
        <v>2.2572400646987995E-3</v>
      </c>
      <c r="H40" s="167">
        <v>4057</v>
      </c>
      <c r="I40" s="32">
        <f t="shared" si="13"/>
        <v>2.0463596034390138E-3</v>
      </c>
      <c r="J40" s="25">
        <v>5882</v>
      </c>
      <c r="K40" s="32">
        <f t="shared" si="14"/>
        <v>2.5448507225697367E-3</v>
      </c>
      <c r="L40" s="27">
        <v>7675</v>
      </c>
      <c r="M40" s="32">
        <f t="shared" si="15"/>
        <v>2.9197285774663906E-3</v>
      </c>
    </row>
    <row r="41" spans="1:13" x14ac:dyDescent="0.25">
      <c r="A41" s="205" t="s">
        <v>31</v>
      </c>
      <c r="B41" s="169">
        <v>270</v>
      </c>
      <c r="C41" s="77">
        <f t="shared" si="16"/>
        <v>1.4871936105755989E-4</v>
      </c>
      <c r="D41" s="170">
        <v>7253</v>
      </c>
      <c r="E41" s="77">
        <f t="shared" si="11"/>
        <v>4.2407764719639826E-3</v>
      </c>
      <c r="F41" s="171">
        <v>0</v>
      </c>
      <c r="G41" s="77">
        <f t="shared" si="12"/>
        <v>0</v>
      </c>
      <c r="H41" s="170">
        <v>0</v>
      </c>
      <c r="I41" s="77">
        <f t="shared" si="13"/>
        <v>0</v>
      </c>
      <c r="J41" s="169">
        <v>0</v>
      </c>
      <c r="K41" s="77">
        <f t="shared" si="14"/>
        <v>0</v>
      </c>
      <c r="L41" s="168">
        <v>0</v>
      </c>
      <c r="M41" s="77">
        <f t="shared" si="15"/>
        <v>0</v>
      </c>
    </row>
    <row r="42" spans="1:13" x14ac:dyDescent="0.25">
      <c r="A42" s="205" t="s">
        <v>32</v>
      </c>
      <c r="B42" s="25">
        <v>14803</v>
      </c>
      <c r="C42" s="32">
        <f t="shared" si="16"/>
        <v>8.1536766730928127E-3</v>
      </c>
      <c r="D42" s="167">
        <v>6356</v>
      </c>
      <c r="E42" s="32">
        <f t="shared" si="11"/>
        <v>3.7163070806291295E-3</v>
      </c>
      <c r="F42" s="167">
        <v>7761</v>
      </c>
      <c r="G42" s="32">
        <f t="shared" si="12"/>
        <v>4.2438081739649665E-3</v>
      </c>
      <c r="H42" s="167">
        <v>13455</v>
      </c>
      <c r="I42" s="32">
        <f t="shared" si="13"/>
        <v>6.7867311965176076E-3</v>
      </c>
      <c r="J42" s="25">
        <v>9292</v>
      </c>
      <c r="K42" s="32">
        <f t="shared" si="14"/>
        <v>4.0201892067524645E-3</v>
      </c>
      <c r="L42" s="27">
        <v>14326</v>
      </c>
      <c r="M42" s="32">
        <f t="shared" si="15"/>
        <v>5.4499063974962235E-3</v>
      </c>
    </row>
    <row r="43" spans="1:13" x14ac:dyDescent="0.25">
      <c r="A43" s="420" t="s">
        <v>33</v>
      </c>
      <c r="B43" s="76">
        <v>6618</v>
      </c>
      <c r="C43" s="77">
        <f t="shared" si="16"/>
        <v>3.6452767832553016E-3</v>
      </c>
      <c r="D43" s="170">
        <v>2136</v>
      </c>
      <c r="E43" s="77">
        <f t="shared" si="11"/>
        <v>1.2489037011050694E-3</v>
      </c>
      <c r="F43" s="170">
        <v>2580</v>
      </c>
      <c r="G43" s="77">
        <f t="shared" si="12"/>
        <v>1.4107750404367496E-3</v>
      </c>
      <c r="H43" s="170">
        <v>6901</v>
      </c>
      <c r="I43" s="77">
        <f t="shared" si="13"/>
        <v>3.48087937474307E-3</v>
      </c>
      <c r="J43" s="76">
        <v>5595</v>
      </c>
      <c r="K43" s="77">
        <f t="shared" si="14"/>
        <v>2.4206800055725395E-3</v>
      </c>
      <c r="L43" s="168">
        <v>7128</v>
      </c>
      <c r="M43" s="77">
        <f t="shared" si="15"/>
        <v>2.7116384755935417E-3</v>
      </c>
    </row>
    <row r="44" spans="1:13" x14ac:dyDescent="0.25">
      <c r="A44" s="203" t="s">
        <v>11</v>
      </c>
      <c r="B44" s="25">
        <v>32657</v>
      </c>
      <c r="C44" s="32">
        <f t="shared" si="16"/>
        <v>1.798788212613605E-2</v>
      </c>
      <c r="D44" s="167">
        <v>52305</v>
      </c>
      <c r="E44" s="32">
        <f t="shared" si="11"/>
        <v>3.0582353972987194E-2</v>
      </c>
      <c r="F44" s="167">
        <v>53880</v>
      </c>
      <c r="G44" s="32">
        <f t="shared" si="12"/>
        <v>2.9462232239818635E-2</v>
      </c>
      <c r="H44" s="167">
        <v>46481</v>
      </c>
      <c r="I44" s="32">
        <f t="shared" si="13"/>
        <v>2.3445117260894457E-2</v>
      </c>
      <c r="J44" s="25">
        <v>55701</v>
      </c>
      <c r="K44" s="32">
        <f t="shared" si="14"/>
        <v>2.4099070060839323E-2</v>
      </c>
      <c r="L44" s="27">
        <v>52895</v>
      </c>
      <c r="M44" s="32">
        <f t="shared" si="15"/>
        <v>2.0122350893170649E-2</v>
      </c>
    </row>
    <row r="45" spans="1:13" x14ac:dyDescent="0.25">
      <c r="A45" s="205" t="s">
        <v>34</v>
      </c>
      <c r="B45" s="25">
        <v>131000</v>
      </c>
      <c r="C45" s="26">
        <f t="shared" si="16"/>
        <v>7.215643073533462E-2</v>
      </c>
      <c r="D45" s="167">
        <v>10000</v>
      </c>
      <c r="E45" s="32">
        <f t="shared" si="11"/>
        <v>5.8469274396304744E-3</v>
      </c>
      <c r="F45" s="25">
        <v>0</v>
      </c>
      <c r="G45" s="32">
        <f t="shared" si="12"/>
        <v>0</v>
      </c>
      <c r="H45" s="25">
        <v>0</v>
      </c>
      <c r="I45" s="32">
        <f t="shared" si="13"/>
        <v>0</v>
      </c>
      <c r="J45" s="25">
        <v>0</v>
      </c>
      <c r="K45" s="32">
        <f t="shared" si="14"/>
        <v>0</v>
      </c>
      <c r="L45" s="27">
        <v>0</v>
      </c>
      <c r="M45" s="32">
        <f t="shared" si="15"/>
        <v>0</v>
      </c>
    </row>
    <row r="46" spans="1:13" ht="15.75" thickBot="1" x14ac:dyDescent="0.3">
      <c r="A46" s="200" t="s">
        <v>35</v>
      </c>
      <c r="B46" s="33">
        <v>3625</v>
      </c>
      <c r="C46" s="34">
        <f t="shared" si="16"/>
        <v>1.9966951253098321E-3</v>
      </c>
      <c r="D46" s="173">
        <v>2543</v>
      </c>
      <c r="E46" s="172">
        <f t="shared" si="11"/>
        <v>1.4868736478980296E-3</v>
      </c>
      <c r="F46" s="173">
        <v>1842</v>
      </c>
      <c r="G46" s="172">
        <f t="shared" si="12"/>
        <v>1.007227761428098E-3</v>
      </c>
      <c r="H46" s="173">
        <v>2519</v>
      </c>
      <c r="I46" s="172">
        <f t="shared" si="13"/>
        <v>1.2705890660741623E-3</v>
      </c>
      <c r="J46" s="33">
        <v>10772</v>
      </c>
      <c r="K46" s="172">
        <f t="shared" si="14"/>
        <v>4.66051206792268E-3</v>
      </c>
      <c r="L46" s="33">
        <v>2207</v>
      </c>
      <c r="M46" s="172">
        <f t="shared" si="15"/>
        <v>8.3958840006101952E-4</v>
      </c>
    </row>
    <row r="47" spans="1:13" s="9" customFormat="1" ht="17.25" thickTop="1" thickBot="1" x14ac:dyDescent="0.3">
      <c r="A47" s="175" t="s">
        <v>36</v>
      </c>
      <c r="B47" s="177">
        <f>SUM(B39:B46)</f>
        <v>287534</v>
      </c>
      <c r="C47" s="180">
        <f t="shared" si="16"/>
        <v>0.1583773065271275</v>
      </c>
      <c r="D47" s="181">
        <f>SUM(D39:D46)</f>
        <v>183271</v>
      </c>
      <c r="E47" s="178">
        <f t="shared" si="11"/>
        <v>0.10715722387885167</v>
      </c>
      <c r="F47" s="181">
        <f>SUM(F39:F46)</f>
        <v>184788</v>
      </c>
      <c r="G47" s="178">
        <f t="shared" si="12"/>
        <v>0.1010443016171419</v>
      </c>
      <c r="H47" s="181">
        <f>SUM(H39:H46)</f>
        <v>226589</v>
      </c>
      <c r="I47" s="178">
        <f t="shared" si="13"/>
        <v>0.11429198328411209</v>
      </c>
      <c r="J47" s="177">
        <f>SUM(J39:J46)</f>
        <v>249411</v>
      </c>
      <c r="K47" s="178">
        <f t="shared" si="14"/>
        <v>0.10790781427521942</v>
      </c>
      <c r="L47" s="177">
        <f>SUM(L39:L46)</f>
        <v>285763</v>
      </c>
      <c r="M47" s="178">
        <f t="shared" si="15"/>
        <v>0.10871014950912419</v>
      </c>
    </row>
    <row r="48" spans="1:13" ht="16.5" thickTop="1" thickBot="1" x14ac:dyDescent="0.3">
      <c r="A48" s="416"/>
      <c r="B48" s="296"/>
      <c r="C48" s="301"/>
      <c r="D48" s="126"/>
      <c r="E48" s="128"/>
      <c r="F48" s="123"/>
      <c r="G48" s="129"/>
      <c r="H48" s="126"/>
      <c r="I48" s="128"/>
      <c r="J48" s="126"/>
      <c r="K48" s="128"/>
      <c r="L48" s="155"/>
      <c r="M48" s="129"/>
    </row>
    <row r="49" spans="1:14" s="6" customFormat="1" ht="17.25" thickTop="1" thickBot="1" x14ac:dyDescent="0.3">
      <c r="A49" s="12" t="s">
        <v>37</v>
      </c>
      <c r="B49" s="298"/>
      <c r="C49" s="302"/>
      <c r="D49" s="154"/>
      <c r="E49" s="156"/>
      <c r="F49" s="127"/>
      <c r="G49" s="156"/>
      <c r="H49" s="154"/>
      <c r="I49" s="156"/>
      <c r="J49" s="154"/>
      <c r="K49" s="121"/>
      <c r="L49" s="298"/>
      <c r="M49" s="157"/>
    </row>
    <row r="50" spans="1:14" ht="15.75" thickTop="1" x14ac:dyDescent="0.25">
      <c r="A50" s="201" t="s">
        <v>38</v>
      </c>
      <c r="B50" s="165">
        <v>1435213</v>
      </c>
      <c r="C50" s="22">
        <f t="shared" si="16"/>
        <v>0.7905331864500138</v>
      </c>
      <c r="D50" s="165">
        <v>1341737</v>
      </c>
      <c r="E50" s="138">
        <f>D50/D$63</f>
        <v>0.78450388820674732</v>
      </c>
      <c r="F50" s="165">
        <v>1227140</v>
      </c>
      <c r="G50" s="69">
        <f>F50/F$63</f>
        <v>0.67101491593858642</v>
      </c>
      <c r="H50" s="165">
        <v>1290244</v>
      </c>
      <c r="I50" s="138">
        <f>H50/H$63</f>
        <v>0.65080187334965911</v>
      </c>
      <c r="J50" s="165">
        <v>1399720</v>
      </c>
      <c r="K50" s="164">
        <f>J50/J$63</f>
        <v>0.60558967245755047</v>
      </c>
      <c r="L50" s="165">
        <v>1617751</v>
      </c>
      <c r="M50" s="164">
        <f>L50/L$63</f>
        <v>0.61542590565795841</v>
      </c>
    </row>
    <row r="51" spans="1:14" x14ac:dyDescent="0.25">
      <c r="A51" s="203" t="s">
        <v>39</v>
      </c>
      <c r="B51" s="25">
        <v>99685</v>
      </c>
      <c r="C51" s="32">
        <f t="shared" si="16"/>
        <v>5.490773891489948E-2</v>
      </c>
      <c r="D51" s="25">
        <v>28855</v>
      </c>
      <c r="E51" s="187">
        <f>D51/D$63</f>
        <v>1.6871309127053733E-2</v>
      </c>
      <c r="F51" s="25">
        <v>54062</v>
      </c>
      <c r="G51" s="32">
        <f>F51/F$63</f>
        <v>2.9561752029492853E-2</v>
      </c>
      <c r="H51" s="25">
        <v>125194</v>
      </c>
      <c r="I51" s="187">
        <f>H51/H$63</f>
        <v>6.3148125263234878E-2</v>
      </c>
      <c r="J51" s="25">
        <v>125110</v>
      </c>
      <c r="K51" s="32">
        <f>J51/J$63</f>
        <v>5.4128914297976838E-2</v>
      </c>
      <c r="L51" s="25">
        <v>61808</v>
      </c>
      <c r="M51" s="32">
        <f>L51/L$63</f>
        <v>2.3513040249647257E-2</v>
      </c>
    </row>
    <row r="52" spans="1:14" ht="15.75" thickBot="1" x14ac:dyDescent="0.3">
      <c r="A52" s="200" t="s">
        <v>40</v>
      </c>
      <c r="B52" s="33">
        <v>3818</v>
      </c>
      <c r="C52" s="34">
        <f t="shared" si="16"/>
        <v>2.1030019278435691E-3</v>
      </c>
      <c r="D52" s="33">
        <v>1215</v>
      </c>
      <c r="E52" s="121">
        <f>D52/D$63</f>
        <v>7.1040168391510266E-4</v>
      </c>
      <c r="F52" s="188">
        <v>650</v>
      </c>
      <c r="G52" s="172">
        <f>F52/F$63</f>
        <v>3.5542782026507262E-4</v>
      </c>
      <c r="H52" s="33">
        <v>10532</v>
      </c>
      <c r="I52" s="121">
        <f>H52/H$63</f>
        <v>5.3123636537884388E-3</v>
      </c>
      <c r="J52" s="33">
        <v>16641</v>
      </c>
      <c r="K52" s="172">
        <f>J52/J$63</f>
        <v>7.1997383329280842E-3</v>
      </c>
      <c r="L52" s="33">
        <v>23424</v>
      </c>
      <c r="M52" s="172">
        <f>L52/L$63</f>
        <v>8.9109735763612686E-3</v>
      </c>
    </row>
    <row r="53" spans="1:14" s="9" customFormat="1" ht="17.25" thickTop="1" thickBot="1" x14ac:dyDescent="0.3">
      <c r="A53" s="176" t="s">
        <v>41</v>
      </c>
      <c r="B53" s="177">
        <f>SUM(B50:B52)</f>
        <v>1538716</v>
      </c>
      <c r="C53" s="180">
        <f t="shared" si="16"/>
        <v>0.84754392729275685</v>
      </c>
      <c r="D53" s="177">
        <f>SUM(D50:D52)</f>
        <v>1371807</v>
      </c>
      <c r="E53" s="179">
        <f>D53/D$63</f>
        <v>0.80208559901771614</v>
      </c>
      <c r="F53" s="177">
        <f>SUM(F50:F52)</f>
        <v>1281852</v>
      </c>
      <c r="G53" s="178">
        <f>F53/F$63</f>
        <v>0.70093209578834437</v>
      </c>
      <c r="H53" s="177">
        <f>SUM(H50:H52)</f>
        <v>1425970</v>
      </c>
      <c r="I53" s="179">
        <f>H53/H$63</f>
        <v>0.7192623622666825</v>
      </c>
      <c r="J53" s="177">
        <f>SUM(J50:J52)</f>
        <v>1541471</v>
      </c>
      <c r="K53" s="178">
        <f>J53/J$63</f>
        <v>0.66691832508845539</v>
      </c>
      <c r="L53" s="177">
        <f>SUM(L50:L52)</f>
        <v>1702983</v>
      </c>
      <c r="M53" s="178">
        <f>L53/L$63</f>
        <v>0.64784991948396697</v>
      </c>
    </row>
    <row r="54" spans="1:14" ht="16.5" thickTop="1" thickBot="1" x14ac:dyDescent="0.3">
      <c r="A54" s="416"/>
      <c r="B54" s="296"/>
      <c r="C54" s="129"/>
      <c r="D54" s="126"/>
      <c r="E54" s="128"/>
      <c r="F54" s="126"/>
      <c r="G54" s="128"/>
      <c r="H54" s="126"/>
      <c r="I54" s="128"/>
      <c r="J54" s="126"/>
      <c r="K54" s="128"/>
      <c r="L54" s="131"/>
      <c r="M54" s="128"/>
    </row>
    <row r="55" spans="1:14" ht="16.5" thickTop="1" x14ac:dyDescent="0.25">
      <c r="A55" s="174" t="s">
        <v>42</v>
      </c>
      <c r="B55" s="300"/>
      <c r="C55" s="160"/>
      <c r="D55" s="119"/>
      <c r="E55" s="158"/>
      <c r="F55" s="119"/>
      <c r="G55" s="158"/>
      <c r="H55" s="119"/>
      <c r="I55" s="158"/>
      <c r="J55" s="119"/>
      <c r="K55" s="295"/>
      <c r="L55" s="300"/>
      <c r="M55" s="160"/>
    </row>
    <row r="56" spans="1:14" ht="16.5" thickBot="1" x14ac:dyDescent="0.3">
      <c r="A56" s="182" t="s">
        <v>43</v>
      </c>
      <c r="B56" s="303"/>
      <c r="C56" s="130"/>
      <c r="D56" s="111"/>
      <c r="E56" s="156"/>
      <c r="F56" s="159"/>
      <c r="G56" s="156"/>
      <c r="H56" s="111"/>
      <c r="I56" s="156"/>
      <c r="J56" s="112"/>
      <c r="K56" s="121"/>
      <c r="L56" s="303"/>
      <c r="M56" s="120"/>
      <c r="N56" s="87"/>
    </row>
    <row r="57" spans="1:14" ht="15.75" thickTop="1" x14ac:dyDescent="0.25">
      <c r="A57" s="202" t="s">
        <v>44</v>
      </c>
      <c r="B57" s="189">
        <v>0</v>
      </c>
      <c r="C57" s="22">
        <f t="shared" si="16"/>
        <v>0</v>
      </c>
      <c r="D57" s="189">
        <v>0</v>
      </c>
      <c r="E57" s="164">
        <f>D57/D$63</f>
        <v>0</v>
      </c>
      <c r="F57" s="190">
        <v>6</v>
      </c>
      <c r="G57" s="191">
        <f>F57/F$63</f>
        <v>3.2808721870622084E-6</v>
      </c>
      <c r="H57" s="189">
        <v>6</v>
      </c>
      <c r="I57" s="164">
        <f>H57/H$63</f>
        <v>3.0264130196288104E-6</v>
      </c>
      <c r="J57" s="189">
        <v>8</v>
      </c>
      <c r="K57" s="164">
        <f>J57/J$63</f>
        <v>3.4612046549741406E-6</v>
      </c>
      <c r="L57" s="189">
        <v>8</v>
      </c>
      <c r="M57" s="164">
        <f>L57/L$63</f>
        <v>3.0433652924731109E-6</v>
      </c>
    </row>
    <row r="58" spans="1:14" x14ac:dyDescent="0.25">
      <c r="A58" s="203" t="s">
        <v>45</v>
      </c>
      <c r="B58" s="25">
        <v>325482</v>
      </c>
      <c r="C58" s="32">
        <f t="shared" si="16"/>
        <v>0.17927953731754337</v>
      </c>
      <c r="D58" s="25">
        <v>372034</v>
      </c>
      <c r="E58" s="32">
        <f>D58/D$63</f>
        <v>0.21752558030754837</v>
      </c>
      <c r="F58" s="25">
        <v>519971</v>
      </c>
      <c r="G58" s="32">
        <f>F58/F$63</f>
        <v>0.28432639866315396</v>
      </c>
      <c r="H58" s="25">
        <v>519971</v>
      </c>
      <c r="I58" s="32">
        <f>H58/H$63</f>
        <v>0.26227450070490205</v>
      </c>
      <c r="J58" s="25">
        <v>714100</v>
      </c>
      <c r="K58" s="32">
        <f>J58/J$63</f>
        <v>0.30895578051462924</v>
      </c>
      <c r="L58" s="27">
        <v>762142</v>
      </c>
      <c r="M58" s="32">
        <f>L58/L$63</f>
        <v>0.28993456384200522</v>
      </c>
    </row>
    <row r="59" spans="1:14" x14ac:dyDescent="0.25">
      <c r="A59" s="203" t="s">
        <v>46</v>
      </c>
      <c r="B59" s="25">
        <v>-103369</v>
      </c>
      <c r="C59" s="26">
        <f t="shared" si="16"/>
        <v>-5.6936931974662625E-2</v>
      </c>
      <c r="D59" s="25">
        <v>-60648</v>
      </c>
      <c r="E59" s="32">
        <f>D59/D$63</f>
        <v>-3.5460445535870896E-2</v>
      </c>
      <c r="F59" s="25">
        <v>-82895</v>
      </c>
      <c r="G59" s="32">
        <f>F59/F$63</f>
        <v>-4.5327983324420298E-2</v>
      </c>
      <c r="H59" s="25">
        <v>-48854</v>
      </c>
      <c r="I59" s="32">
        <f>H59/H$63</f>
        <v>-2.4642063610157652E-2</v>
      </c>
      <c r="J59" s="25">
        <v>-40814</v>
      </c>
      <c r="K59" s="32">
        <f>J59/J$63</f>
        <v>-1.765820084851432E-2</v>
      </c>
      <c r="L59" s="25">
        <v>-25752</v>
      </c>
      <c r="M59" s="32">
        <f>L59/L$63</f>
        <v>-9.7965928764709442E-3</v>
      </c>
    </row>
    <row r="60" spans="1:14" ht="15.75" thickBot="1" x14ac:dyDescent="0.3">
      <c r="A60" s="200" t="s">
        <v>47</v>
      </c>
      <c r="B60" s="76">
        <v>-232863</v>
      </c>
      <c r="C60" s="30">
        <f t="shared" si="16"/>
        <v>-0.12826383916276507</v>
      </c>
      <c r="D60" s="76">
        <v>-156164</v>
      </c>
      <c r="E60" s="77">
        <f>D60/D$63</f>
        <v>-9.1307957668245343E-2</v>
      </c>
      <c r="F60" s="76">
        <v>-74940</v>
      </c>
      <c r="G60" s="77">
        <f>F60/F$63</f>
        <v>-4.0978093616406988E-2</v>
      </c>
      <c r="H60" s="76">
        <v>-141137</v>
      </c>
      <c r="I60" s="77">
        <f>H60/H$63</f>
        <v>-7.1189809058558567E-2</v>
      </c>
      <c r="J60" s="33">
        <v>-152842</v>
      </c>
      <c r="K60" s="77">
        <f>J60/J$63</f>
        <v>-6.6127180234444694E-2</v>
      </c>
      <c r="L60" s="33">
        <v>-96475</v>
      </c>
      <c r="M60" s="172">
        <f>L60/L$63</f>
        <v>-3.6701083323917923E-2</v>
      </c>
    </row>
    <row r="61" spans="1:14" s="6" customFormat="1" ht="17.25" thickTop="1" thickBot="1" x14ac:dyDescent="0.3">
      <c r="A61" s="12" t="s">
        <v>48</v>
      </c>
      <c r="B61" s="14">
        <f>SUM(B57:B60)</f>
        <v>-10750</v>
      </c>
      <c r="C61" s="56">
        <f t="shared" si="16"/>
        <v>-5.9212338198843294E-3</v>
      </c>
      <c r="D61" s="14">
        <f>SUM(D57:D60)</f>
        <v>155222</v>
      </c>
      <c r="E61" s="63">
        <f>D61/D$63</f>
        <v>9.0757177103432146E-2</v>
      </c>
      <c r="F61" s="14">
        <f>SUM(F57:F60)</f>
        <v>362142</v>
      </c>
      <c r="G61" s="63">
        <f>F61/F$63</f>
        <v>0.19802360259451374</v>
      </c>
      <c r="H61" s="14">
        <f>SUM(H57:H60)</f>
        <v>329986</v>
      </c>
      <c r="I61" s="63">
        <f>H61/H$63</f>
        <v>0.16644565444920545</v>
      </c>
      <c r="J61" s="177">
        <f>SUM(J57:J60)</f>
        <v>520452</v>
      </c>
      <c r="K61" s="63">
        <f>J61/J$63</f>
        <v>0.22517386063632516</v>
      </c>
      <c r="L61" s="177">
        <f>SUM(L57:L60)</f>
        <v>639923</v>
      </c>
      <c r="M61" s="178">
        <f>L61/L$63</f>
        <v>0.24343993100690883</v>
      </c>
    </row>
    <row r="62" spans="1:14" ht="16.5" thickTop="1" thickBot="1" x14ac:dyDescent="0.3">
      <c r="A62" s="421"/>
      <c r="B62" s="218"/>
      <c r="C62" s="161"/>
      <c r="D62" s="162"/>
      <c r="E62" s="140"/>
      <c r="F62" s="162"/>
      <c r="G62" s="140"/>
      <c r="H62" s="108"/>
      <c r="I62" s="140"/>
      <c r="J62" s="108"/>
      <c r="K62" s="161"/>
      <c r="L62" s="108"/>
      <c r="M62" s="161"/>
      <c r="N62" s="87"/>
    </row>
    <row r="63" spans="1:14" s="10" customFormat="1" ht="20.25" thickTop="1" thickBot="1" x14ac:dyDescent="0.3">
      <c r="A63" s="183" t="s">
        <v>49</v>
      </c>
      <c r="B63" s="184">
        <f>SUM(B47+B53+B61)</f>
        <v>1815500</v>
      </c>
      <c r="C63" s="185">
        <f t="shared" si="16"/>
        <v>1</v>
      </c>
      <c r="D63" s="186">
        <f>SUM(D47+D53+D61)</f>
        <v>1710300</v>
      </c>
      <c r="E63" s="185">
        <f>D63/D$63</f>
        <v>1</v>
      </c>
      <c r="F63" s="186">
        <f>(F47+F53+F61)</f>
        <v>1828782</v>
      </c>
      <c r="G63" s="185">
        <f>F63/F$63</f>
        <v>1</v>
      </c>
      <c r="H63" s="186">
        <f>SUM(H47+H53+H61)</f>
        <v>1982545</v>
      </c>
      <c r="I63" s="185">
        <f>H63/H$63</f>
        <v>1</v>
      </c>
      <c r="J63" s="186">
        <f>SUM(J47+J53+J61)</f>
        <v>2311334</v>
      </c>
      <c r="K63" s="185">
        <f>J63/J$63</f>
        <v>1</v>
      </c>
      <c r="L63" s="184">
        <f>SUM(L47+L53+L61)</f>
        <v>2628669</v>
      </c>
      <c r="M63" s="185">
        <f>L63/L$63</f>
        <v>1</v>
      </c>
    </row>
    <row r="64" spans="1:14" ht="15.75" thickTop="1" x14ac:dyDescent="0.25"/>
  </sheetData>
  <mergeCells count="2">
    <mergeCell ref="E1:J1"/>
    <mergeCell ref="E2:J2"/>
  </mergeCells>
  <pageMargins left="0.7" right="0.7" top="0.75" bottom="0.75" header="0.3" footer="0.3"/>
  <pageSetup orientation="portrait" r:id="rId1"/>
  <ignoredErrors>
    <ignoredError sqref="B23:D23 B32:D32 B34 B18:D18 B47:D47 B53:D53 B61:D61 B63:D63 E18:F18 G18:H18 I18:J18 K18:L18 J23:L23 H23:I23 F23:G23 E23 E32:F32 G32 I32 K32:L32 K34:L34 I34:J34 G34:H34 F34 D34 E47:F47 G47:H47 I47:J47 K47:L47 J53:L53 H53:I53 F53:G53 E53 E61:F61 G61:H61 I61:J61 K61:L61 K63:L63 I63:J63 H63 F6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"/>
  <sheetViews>
    <sheetView topLeftCell="C9" zoomScale="80" zoomScaleNormal="80" workbookViewId="0">
      <selection activeCell="Q35" sqref="Q35"/>
    </sheetView>
  </sheetViews>
  <sheetFormatPr defaultRowHeight="15" x14ac:dyDescent="0.25"/>
  <cols>
    <col min="1" max="1" width="49.140625" customWidth="1"/>
    <col min="2" max="2" width="14" customWidth="1"/>
    <col min="3" max="3" width="12.28515625" customWidth="1"/>
    <col min="4" max="4" width="13.85546875" customWidth="1"/>
    <col min="5" max="5" width="14.140625" customWidth="1"/>
    <col min="6" max="6" width="12.28515625" customWidth="1"/>
    <col min="7" max="7" width="14" customWidth="1"/>
    <col min="8" max="8" width="14.140625" customWidth="1"/>
    <col min="9" max="9" width="12.42578125" customWidth="1"/>
    <col min="10" max="10" width="14" customWidth="1"/>
    <col min="11" max="11" width="14.140625" customWidth="1"/>
    <col min="12" max="12" width="12.42578125" customWidth="1"/>
    <col min="13" max="13" width="14" customWidth="1"/>
    <col min="14" max="14" width="14.140625" customWidth="1"/>
    <col min="15" max="15" width="12.42578125" customWidth="1"/>
    <col min="16" max="16" width="14" customWidth="1"/>
    <col min="17" max="17" width="14.140625" customWidth="1"/>
    <col min="18" max="18" width="12.42578125" customWidth="1"/>
    <col min="19" max="19" width="13.85546875" customWidth="1"/>
  </cols>
  <sheetData>
    <row r="1" spans="1:20" ht="18" customHeight="1" thickTop="1" x14ac:dyDescent="0.3">
      <c r="A1" s="104"/>
      <c r="B1" s="228"/>
      <c r="C1" s="100"/>
      <c r="D1" s="101"/>
      <c r="G1" s="336"/>
      <c r="H1" s="677" t="s">
        <v>50</v>
      </c>
      <c r="I1" s="678"/>
      <c r="J1" s="678"/>
      <c r="K1" s="678"/>
      <c r="L1" s="678"/>
      <c r="M1" s="679"/>
    </row>
    <row r="2" spans="1:20" ht="15.75" thickBot="1" x14ac:dyDescent="0.3">
      <c r="A2" s="106"/>
      <c r="B2" s="335"/>
      <c r="C2" s="102"/>
      <c r="D2" s="101"/>
      <c r="G2" s="337"/>
      <c r="H2" s="680" t="s">
        <v>51</v>
      </c>
      <c r="I2" s="681"/>
      <c r="J2" s="681"/>
      <c r="K2" s="681"/>
      <c r="L2" s="681"/>
      <c r="M2" s="682"/>
      <c r="S2" s="326"/>
    </row>
    <row r="3" spans="1:20" ht="30.75" customHeight="1" thickTop="1" thickBot="1" x14ac:dyDescent="0.3">
      <c r="A3" s="105"/>
      <c r="B3" s="42">
        <v>39813</v>
      </c>
      <c r="C3" s="16" t="s">
        <v>52</v>
      </c>
      <c r="D3" s="16" t="s">
        <v>53</v>
      </c>
      <c r="E3" s="20">
        <v>40178</v>
      </c>
      <c r="F3" s="16" t="s">
        <v>52</v>
      </c>
      <c r="G3" s="215" t="s">
        <v>53</v>
      </c>
      <c r="H3" s="20">
        <v>40543</v>
      </c>
      <c r="I3" s="18" t="s">
        <v>52</v>
      </c>
      <c r="J3" s="18" t="s">
        <v>53</v>
      </c>
      <c r="K3" s="19">
        <v>40908</v>
      </c>
      <c r="L3" s="18" t="s">
        <v>52</v>
      </c>
      <c r="M3" s="18" t="s">
        <v>53</v>
      </c>
      <c r="N3" s="327">
        <v>41274</v>
      </c>
      <c r="O3" s="18" t="s">
        <v>52</v>
      </c>
      <c r="P3" s="18" t="s">
        <v>53</v>
      </c>
      <c r="Q3" s="18" t="s">
        <v>3</v>
      </c>
      <c r="R3" s="16" t="s">
        <v>52</v>
      </c>
      <c r="S3" s="229" t="s">
        <v>53</v>
      </c>
    </row>
    <row r="4" spans="1:20" ht="17.25" thickTop="1" thickBot="1" x14ac:dyDescent="0.3">
      <c r="A4" s="338" t="s">
        <v>54</v>
      </c>
      <c r="B4" s="41"/>
      <c r="C4" s="108"/>
      <c r="D4" s="264"/>
      <c r="E4" s="47"/>
      <c r="F4" s="47"/>
      <c r="G4" s="218"/>
      <c r="H4" s="217"/>
      <c r="I4" s="47"/>
      <c r="J4" s="47"/>
      <c r="K4" s="46"/>
      <c r="L4" s="47"/>
      <c r="M4" s="41"/>
      <c r="N4" s="47"/>
      <c r="O4" s="41"/>
      <c r="P4" s="217"/>
      <c r="Q4" s="44"/>
      <c r="R4" s="46"/>
      <c r="S4" s="218"/>
    </row>
    <row r="5" spans="1:20" ht="17.25" thickTop="1" thickBot="1" x14ac:dyDescent="0.3">
      <c r="A5" s="339" t="s">
        <v>55</v>
      </c>
      <c r="B5" s="235">
        <v>426348</v>
      </c>
      <c r="C5" s="40">
        <f>+B5/B$5</f>
        <v>1</v>
      </c>
      <c r="D5" s="265" t="s">
        <v>56</v>
      </c>
      <c r="E5" s="39">
        <v>399939</v>
      </c>
      <c r="F5" s="40">
        <f>+E5/E$5</f>
        <v>1</v>
      </c>
      <c r="G5" s="45">
        <f>IF(B5=0,"-",(E5-B5)/B5)</f>
        <v>-6.1942356947845424E-2</v>
      </c>
      <c r="H5" s="235">
        <v>353151</v>
      </c>
      <c r="I5" s="68">
        <f>+H5/H$5</f>
        <v>1</v>
      </c>
      <c r="J5" s="68">
        <f>IF(E5=0,"-",(H5-E5)/E5)</f>
        <v>-0.11698784064569846</v>
      </c>
      <c r="K5" s="66">
        <v>382155</v>
      </c>
      <c r="L5" s="40">
        <f>+K5/K$5</f>
        <v>1</v>
      </c>
      <c r="M5" s="45">
        <f>IF(H5=0,"-",(K5-H5)/H5)</f>
        <v>8.2129174205934574E-2</v>
      </c>
      <c r="N5" s="66">
        <v>386155</v>
      </c>
      <c r="O5" s="67">
        <f>+N5/N$5</f>
        <v>1</v>
      </c>
      <c r="P5" s="67">
        <f>IF(K5=0,"-",(N5-K5)/K5)</f>
        <v>1.0466957124726877E-2</v>
      </c>
      <c r="Q5" s="39">
        <v>301700</v>
      </c>
      <c r="R5" s="67">
        <f>+Q5/Q$5</f>
        <v>1</v>
      </c>
      <c r="S5" s="241">
        <f>IF(N5=0,"-",(Q5-N5)/N5)</f>
        <v>-0.21870751382216985</v>
      </c>
    </row>
    <row r="6" spans="1:20" ht="17.25" thickTop="1" thickBot="1" x14ac:dyDescent="0.3">
      <c r="A6" s="340"/>
      <c r="B6" s="50"/>
      <c r="C6" s="79"/>
      <c r="D6" s="268"/>
      <c r="E6" s="50"/>
      <c r="F6" s="49"/>
      <c r="G6" s="247"/>
      <c r="H6" s="50"/>
      <c r="I6" s="256"/>
      <c r="J6" s="357"/>
      <c r="K6" s="50"/>
      <c r="L6" s="51"/>
      <c r="M6" s="247"/>
      <c r="N6" s="48"/>
      <c r="O6" s="230"/>
      <c r="P6" s="377"/>
      <c r="Q6" s="50"/>
      <c r="R6" s="383"/>
      <c r="S6" s="384"/>
      <c r="T6" s="331"/>
    </row>
    <row r="7" spans="1:20" ht="17.25" thickTop="1" thickBot="1" x14ac:dyDescent="0.3">
      <c r="A7" s="338" t="s">
        <v>57</v>
      </c>
      <c r="B7" s="48"/>
      <c r="C7" s="88"/>
      <c r="D7" s="269"/>
      <c r="E7" s="48"/>
      <c r="F7" s="53"/>
      <c r="G7" s="248"/>
      <c r="H7" s="48"/>
      <c r="I7" s="258"/>
      <c r="J7" s="358"/>
      <c r="K7" s="54"/>
      <c r="L7" s="55"/>
      <c r="M7" s="248"/>
      <c r="N7" s="52"/>
      <c r="O7" s="231"/>
      <c r="P7" s="333"/>
      <c r="Q7" s="334"/>
      <c r="R7" s="270"/>
      <c r="S7" s="385"/>
      <c r="T7" s="331"/>
    </row>
    <row r="8" spans="1:20" ht="16.5" thickTop="1" x14ac:dyDescent="0.25">
      <c r="A8" s="341" t="s">
        <v>58</v>
      </c>
      <c r="B8" s="94">
        <v>-3735</v>
      </c>
      <c r="C8" s="211">
        <f t="shared" ref="C8:C32" si="0">+B8/B$5</f>
        <v>-8.7604492105040951E-3</v>
      </c>
      <c r="D8" s="266" t="s">
        <v>56</v>
      </c>
      <c r="E8" s="94">
        <v>-3075</v>
      </c>
      <c r="F8" s="23">
        <f t="shared" ref="F8:F19" si="1">+E8/E$5</f>
        <v>-7.6886725225596905E-3</v>
      </c>
      <c r="G8" s="249">
        <f t="shared" ref="G8:G32" si="2">IF(B8=0,"-",(E8-B8)/B8)</f>
        <v>-0.17670682730923695</v>
      </c>
      <c r="H8" s="94">
        <v>-2076</v>
      </c>
      <c r="I8" s="209">
        <f t="shared" ref="I8:I19" si="3">+H8/H$5</f>
        <v>-5.8785052286415727E-3</v>
      </c>
      <c r="J8" s="366">
        <f t="shared" ref="J8:J32" si="4">IF(E8=0,"-",(H8-E8)/E8)</f>
        <v>-0.32487804878048782</v>
      </c>
      <c r="K8" s="365">
        <v>-4218</v>
      </c>
      <c r="L8" s="23">
        <f t="shared" ref="L8:L19" si="5">+K8/K$5</f>
        <v>-1.1037406288024493E-2</v>
      </c>
      <c r="M8" s="236">
        <f t="shared" ref="M8:M32" si="6">IF(H8=0,"-",(K8-H8)/H8)</f>
        <v>1.0317919075144508</v>
      </c>
      <c r="N8" s="365">
        <v>-5533</v>
      </c>
      <c r="O8" s="23">
        <f t="shared" ref="O8:O19" si="7">+N8/N$5</f>
        <v>-1.4328443241703461E-2</v>
      </c>
      <c r="P8" s="380">
        <f t="shared" ref="P8:P32" si="8">IF(K8=0,"-",(N8-K8)/K8)</f>
        <v>0.31175912754860124</v>
      </c>
      <c r="Q8" s="94">
        <v>-2520</v>
      </c>
      <c r="R8" s="23">
        <f t="shared" ref="R8:R19" si="9">+Q8/Q$5</f>
        <v>-8.3526682134570773E-3</v>
      </c>
      <c r="S8" s="387">
        <f t="shared" ref="S8:S32" si="10">IF(N8=0,"-",(Q8-N8)/N8)</f>
        <v>-0.54455087655882883</v>
      </c>
    </row>
    <row r="9" spans="1:20" ht="15.75" x14ac:dyDescent="0.25">
      <c r="A9" s="342" t="s">
        <v>59</v>
      </c>
      <c r="B9" s="25">
        <v>0</v>
      </c>
      <c r="C9" s="26">
        <f t="shared" si="0"/>
        <v>0</v>
      </c>
      <c r="D9" s="259" t="s">
        <v>56</v>
      </c>
      <c r="E9" s="65">
        <v>0</v>
      </c>
      <c r="F9" s="28">
        <f t="shared" si="1"/>
        <v>0</v>
      </c>
      <c r="G9" s="240" t="str">
        <f t="shared" si="2"/>
        <v>-</v>
      </c>
      <c r="H9" s="97">
        <v>-410</v>
      </c>
      <c r="I9" s="29">
        <f t="shared" si="3"/>
        <v>-1.1609764661575359E-3</v>
      </c>
      <c r="J9" s="361" t="str">
        <f t="shared" si="4"/>
        <v>-</v>
      </c>
      <c r="K9" s="98">
        <v>-2877</v>
      </c>
      <c r="L9" s="28">
        <f t="shared" si="5"/>
        <v>-7.5283589119598069E-3</v>
      </c>
      <c r="M9" s="237">
        <f t="shared" si="6"/>
        <v>6.0170731707317069</v>
      </c>
      <c r="N9" s="98">
        <v>-2873</v>
      </c>
      <c r="O9" s="28">
        <f t="shared" si="7"/>
        <v>-7.4400176095091352E-3</v>
      </c>
      <c r="P9" s="240">
        <f t="shared" si="8"/>
        <v>-1.3903371567605145E-3</v>
      </c>
      <c r="Q9" s="95">
        <v>-2283</v>
      </c>
      <c r="R9" s="28">
        <f t="shared" si="9"/>
        <v>-7.5671196552867083E-3</v>
      </c>
      <c r="S9" s="240">
        <f t="shared" si="10"/>
        <v>-0.20536025060911939</v>
      </c>
    </row>
    <row r="10" spans="1:20" ht="15.75" x14ac:dyDescent="0.25">
      <c r="A10" s="342" t="s">
        <v>60</v>
      </c>
      <c r="B10" s="96">
        <v>-148350</v>
      </c>
      <c r="C10" s="28">
        <f t="shared" si="0"/>
        <v>-0.34795519153367671</v>
      </c>
      <c r="D10" s="267" t="s">
        <v>56</v>
      </c>
      <c r="E10" s="96">
        <v>-114515</v>
      </c>
      <c r="F10" s="31">
        <f t="shared" si="1"/>
        <v>-0.28633116550273918</v>
      </c>
      <c r="G10" s="250">
        <f t="shared" si="2"/>
        <v>-0.22807549713515335</v>
      </c>
      <c r="H10" s="96">
        <v>-102771</v>
      </c>
      <c r="I10" s="210">
        <f t="shared" si="3"/>
        <v>-0.29101149366701495</v>
      </c>
      <c r="J10" s="360">
        <f t="shared" si="4"/>
        <v>-0.10255425053486443</v>
      </c>
      <c r="K10" s="98">
        <v>-110359</v>
      </c>
      <c r="L10" s="31">
        <f t="shared" si="5"/>
        <v>-0.28878073033193336</v>
      </c>
      <c r="M10" s="238">
        <f t="shared" si="6"/>
        <v>7.3834058246003254E-2</v>
      </c>
      <c r="N10" s="98">
        <v>-112462</v>
      </c>
      <c r="O10" s="31">
        <f t="shared" si="7"/>
        <v>-0.29123538475482641</v>
      </c>
      <c r="P10" s="245">
        <f t="shared" si="8"/>
        <v>1.9055989996284852E-2</v>
      </c>
      <c r="Q10" s="96">
        <v>-85904</v>
      </c>
      <c r="R10" s="31">
        <f t="shared" si="9"/>
        <v>-0.28473317865429232</v>
      </c>
      <c r="S10" s="240">
        <f t="shared" si="10"/>
        <v>-0.23615087762977716</v>
      </c>
    </row>
    <row r="11" spans="1:20" ht="15.75" x14ac:dyDescent="0.25">
      <c r="A11" s="342" t="s">
        <v>61</v>
      </c>
      <c r="B11" s="25">
        <v>0</v>
      </c>
      <c r="C11" s="26">
        <f t="shared" si="0"/>
        <v>0</v>
      </c>
      <c r="D11" s="253" t="s">
        <v>56</v>
      </c>
      <c r="E11" s="65">
        <v>0</v>
      </c>
      <c r="F11" s="28">
        <f t="shared" si="1"/>
        <v>0</v>
      </c>
      <c r="G11" s="355" t="str">
        <f t="shared" si="2"/>
        <v>-</v>
      </c>
      <c r="H11" s="95">
        <v>-9500</v>
      </c>
      <c r="I11" s="29">
        <f t="shared" si="3"/>
        <v>-2.6900674215845348E-2</v>
      </c>
      <c r="J11" s="367" t="str">
        <f t="shared" si="4"/>
        <v>-</v>
      </c>
      <c r="K11" s="27">
        <v>0</v>
      </c>
      <c r="L11" s="28">
        <f t="shared" si="5"/>
        <v>0</v>
      </c>
      <c r="M11" s="368">
        <f t="shared" si="6"/>
        <v>-1</v>
      </c>
      <c r="N11" s="27">
        <v>0</v>
      </c>
      <c r="O11" s="26">
        <f t="shared" si="7"/>
        <v>0</v>
      </c>
      <c r="P11" s="355" t="str">
        <f t="shared" si="8"/>
        <v>-</v>
      </c>
      <c r="Q11" s="25">
        <v>0</v>
      </c>
      <c r="R11" s="26">
        <f t="shared" si="9"/>
        <v>0</v>
      </c>
      <c r="S11" s="388" t="str">
        <f t="shared" si="10"/>
        <v>-</v>
      </c>
    </row>
    <row r="12" spans="1:20" ht="15.75" x14ac:dyDescent="0.25">
      <c r="A12" s="342" t="s">
        <v>62</v>
      </c>
      <c r="B12" s="96">
        <v>-2238</v>
      </c>
      <c r="C12" s="28">
        <f t="shared" si="0"/>
        <v>-5.2492330209124938E-3</v>
      </c>
      <c r="D12" s="253" t="s">
        <v>56</v>
      </c>
      <c r="E12" s="96">
        <v>-1236</v>
      </c>
      <c r="F12" s="31">
        <f t="shared" si="1"/>
        <v>-3.0904712968727729E-3</v>
      </c>
      <c r="G12" s="355">
        <f t="shared" si="2"/>
        <v>-0.4477211796246649</v>
      </c>
      <c r="H12" s="96">
        <v>-1065</v>
      </c>
      <c r="I12" s="210">
        <f t="shared" si="3"/>
        <v>-3.0157071620921364E-3</v>
      </c>
      <c r="J12" s="361">
        <f t="shared" si="4"/>
        <v>-0.13834951456310679</v>
      </c>
      <c r="K12" s="98">
        <v>-3958</v>
      </c>
      <c r="L12" s="31">
        <f t="shared" si="5"/>
        <v>-1.0357054074917245E-2</v>
      </c>
      <c r="M12" s="368">
        <f t="shared" si="6"/>
        <v>2.7164319248826292</v>
      </c>
      <c r="N12" s="98">
        <v>-3045</v>
      </c>
      <c r="O12" s="31">
        <f t="shared" si="7"/>
        <v>-7.8854346052750837E-3</v>
      </c>
      <c r="P12" s="355">
        <f t="shared" si="8"/>
        <v>-0.23067205659423951</v>
      </c>
      <c r="Q12" s="96">
        <v>-3283</v>
      </c>
      <c r="R12" s="31">
        <f t="shared" si="9"/>
        <v>-1.0881670533642692E-2</v>
      </c>
      <c r="S12" s="355">
        <f t="shared" si="10"/>
        <v>7.8160919540229884E-2</v>
      </c>
    </row>
    <row r="13" spans="1:20" ht="15.75" x14ac:dyDescent="0.25">
      <c r="A13" s="342" t="s">
        <v>63</v>
      </c>
      <c r="B13" s="95">
        <v>-370</v>
      </c>
      <c r="C13" s="212">
        <f t="shared" si="0"/>
        <v>-8.6783566476211923E-4</v>
      </c>
      <c r="D13" s="259" t="s">
        <v>56</v>
      </c>
      <c r="E13" s="97">
        <v>-480</v>
      </c>
      <c r="F13" s="28">
        <f t="shared" si="1"/>
        <v>-1.2001830279117565E-3</v>
      </c>
      <c r="G13" s="355">
        <f t="shared" si="2"/>
        <v>0.29729729729729731</v>
      </c>
      <c r="H13" s="95">
        <v>-159</v>
      </c>
      <c r="I13" s="29">
        <f t="shared" si="3"/>
        <v>-4.5023233687572735E-4</v>
      </c>
      <c r="J13" s="361">
        <f t="shared" si="4"/>
        <v>-0.66874999999999996</v>
      </c>
      <c r="K13" s="98">
        <v>-1000</v>
      </c>
      <c r="L13" s="28">
        <f t="shared" si="5"/>
        <v>-2.6167392811817193E-3</v>
      </c>
      <c r="M13" s="368">
        <f t="shared" si="6"/>
        <v>5.2893081761006293</v>
      </c>
      <c r="N13" s="98">
        <v>-1000</v>
      </c>
      <c r="O13" s="28">
        <f t="shared" si="7"/>
        <v>-2.5896336963136565E-3</v>
      </c>
      <c r="P13" s="355">
        <f t="shared" si="8"/>
        <v>0</v>
      </c>
      <c r="Q13" s="25">
        <v>0</v>
      </c>
      <c r="R13" s="26">
        <f t="shared" si="9"/>
        <v>0</v>
      </c>
      <c r="S13" s="355">
        <f t="shared" si="10"/>
        <v>-1</v>
      </c>
    </row>
    <row r="14" spans="1:20" ht="15.75" x14ac:dyDescent="0.25">
      <c r="A14" s="342" t="s">
        <v>64</v>
      </c>
      <c r="B14" s="96">
        <v>-13541</v>
      </c>
      <c r="C14" s="28">
        <f t="shared" si="0"/>
        <v>-3.1760439828496911E-2</v>
      </c>
      <c r="D14" s="267" t="s">
        <v>56</v>
      </c>
      <c r="E14" s="96">
        <v>-12231</v>
      </c>
      <c r="F14" s="31">
        <f t="shared" si="1"/>
        <v>-3.0582163779976447E-2</v>
      </c>
      <c r="G14" s="355">
        <f t="shared" si="2"/>
        <v>-9.67432242818108E-2</v>
      </c>
      <c r="H14" s="96">
        <v>-11256</v>
      </c>
      <c r="I14" s="210">
        <f t="shared" si="3"/>
        <v>-3.1873051470900547E-2</v>
      </c>
      <c r="J14" s="361">
        <f t="shared" si="4"/>
        <v>-7.9715477066470447E-2</v>
      </c>
      <c r="K14" s="99">
        <v>-15349</v>
      </c>
      <c r="L14" s="31">
        <f t="shared" si="5"/>
        <v>-4.016433122685821E-2</v>
      </c>
      <c r="M14" s="368">
        <f t="shared" si="6"/>
        <v>0.36362828713574979</v>
      </c>
      <c r="N14" s="99">
        <v>-15171</v>
      </c>
      <c r="O14" s="31">
        <f t="shared" si="7"/>
        <v>-3.9287332806774482E-2</v>
      </c>
      <c r="P14" s="355">
        <f t="shared" si="8"/>
        <v>-1.1596846700110757E-2</v>
      </c>
      <c r="Q14" s="96">
        <v>-12303</v>
      </c>
      <c r="R14" s="31">
        <f t="shared" si="9"/>
        <v>-4.0778919456413654E-2</v>
      </c>
      <c r="S14" s="240">
        <f t="shared" si="10"/>
        <v>-0.18904488827368005</v>
      </c>
    </row>
    <row r="15" spans="1:20" ht="15.75" x14ac:dyDescent="0.25">
      <c r="A15" s="342" t="s">
        <v>65</v>
      </c>
      <c r="B15" s="95">
        <v>-6722</v>
      </c>
      <c r="C15" s="28">
        <f t="shared" si="0"/>
        <v>-1.5766463077110719E-2</v>
      </c>
      <c r="D15" s="253" t="s">
        <v>56</v>
      </c>
      <c r="E15" s="95">
        <v>-7986</v>
      </c>
      <c r="F15" s="28">
        <f t="shared" si="1"/>
        <v>-1.9968045126881849E-2</v>
      </c>
      <c r="G15" s="355">
        <f t="shared" si="2"/>
        <v>0.18803927402558762</v>
      </c>
      <c r="H15" s="95">
        <v>-8465</v>
      </c>
      <c r="I15" s="29">
        <f t="shared" si="3"/>
        <v>-2.3969916551276931E-2</v>
      </c>
      <c r="J15" s="360">
        <f t="shared" si="4"/>
        <v>5.9979964938642626E-2</v>
      </c>
      <c r="K15" s="98">
        <v>-8139</v>
      </c>
      <c r="L15" s="28">
        <f t="shared" si="5"/>
        <v>-2.1297641009538015E-2</v>
      </c>
      <c r="M15" s="368">
        <f t="shared" si="6"/>
        <v>-3.8511518015357356E-2</v>
      </c>
      <c r="N15" s="98">
        <v>-8179</v>
      </c>
      <c r="O15" s="28">
        <f t="shared" si="7"/>
        <v>-2.1180614002149396E-2</v>
      </c>
      <c r="P15" s="355">
        <f t="shared" si="8"/>
        <v>4.9146086742843098E-3</v>
      </c>
      <c r="Q15" s="95">
        <v>-6135</v>
      </c>
      <c r="R15" s="28">
        <f t="shared" si="9"/>
        <v>-2.0334769638713956E-2</v>
      </c>
      <c r="S15" s="388">
        <f t="shared" si="10"/>
        <v>-0.24990830174838</v>
      </c>
    </row>
    <row r="16" spans="1:20" ht="15.75" x14ac:dyDescent="0.25">
      <c r="A16" s="342" t="s">
        <v>66</v>
      </c>
      <c r="B16" s="96">
        <v>-72256</v>
      </c>
      <c r="C16" s="28">
        <f t="shared" si="0"/>
        <v>-0.16947657781905862</v>
      </c>
      <c r="D16" s="253" t="s">
        <v>56</v>
      </c>
      <c r="E16" s="96">
        <v>-71148</v>
      </c>
      <c r="F16" s="31">
        <f t="shared" si="1"/>
        <v>-0.17789712931222013</v>
      </c>
      <c r="G16" s="355">
        <f t="shared" si="2"/>
        <v>-1.533436669619132E-2</v>
      </c>
      <c r="H16" s="96">
        <v>-70887</v>
      </c>
      <c r="I16" s="210">
        <f t="shared" si="3"/>
        <v>-0.20072716769880306</v>
      </c>
      <c r="J16" s="367">
        <f t="shared" si="4"/>
        <v>-3.6684095125653566E-3</v>
      </c>
      <c r="K16" s="99">
        <v>-78803</v>
      </c>
      <c r="L16" s="31">
        <f t="shared" si="5"/>
        <v>-0.20620690557496305</v>
      </c>
      <c r="M16" s="368">
        <f t="shared" si="6"/>
        <v>0.11167068714997108</v>
      </c>
      <c r="N16" s="99">
        <v>-80333</v>
      </c>
      <c r="O16" s="31">
        <f t="shared" si="7"/>
        <v>-0.20803304372596496</v>
      </c>
      <c r="P16" s="355">
        <f t="shared" si="8"/>
        <v>1.9415504485869827E-2</v>
      </c>
      <c r="Q16" s="96">
        <v>-65158</v>
      </c>
      <c r="R16" s="31">
        <f t="shared" si="9"/>
        <v>-0.21596950613191912</v>
      </c>
      <c r="S16" s="355">
        <f t="shared" si="10"/>
        <v>-0.18890119876016084</v>
      </c>
    </row>
    <row r="17" spans="1:20" ht="15.75" x14ac:dyDescent="0.25">
      <c r="A17" s="342" t="s">
        <v>67</v>
      </c>
      <c r="B17" s="25">
        <v>95</v>
      </c>
      <c r="C17" s="26">
        <f t="shared" si="0"/>
        <v>2.2282267068216574E-4</v>
      </c>
      <c r="D17" s="253" t="s">
        <v>56</v>
      </c>
      <c r="E17" s="25">
        <v>2854</v>
      </c>
      <c r="F17" s="28">
        <f t="shared" si="1"/>
        <v>7.1360882534586521E-3</v>
      </c>
      <c r="G17" s="355">
        <f t="shared" si="2"/>
        <v>29.042105263157893</v>
      </c>
      <c r="H17" s="25">
        <v>9588</v>
      </c>
      <c r="I17" s="29">
        <f t="shared" si="3"/>
        <v>2.7149859408581598E-2</v>
      </c>
      <c r="J17" s="361">
        <f t="shared" si="4"/>
        <v>2.3594954449894883</v>
      </c>
      <c r="K17" s="27">
        <v>13077</v>
      </c>
      <c r="L17" s="28">
        <f t="shared" si="5"/>
        <v>3.4219099580013346E-2</v>
      </c>
      <c r="M17" s="237">
        <f t="shared" si="6"/>
        <v>0.36389236545682102</v>
      </c>
      <c r="N17" s="98">
        <v>-2796</v>
      </c>
      <c r="O17" s="28">
        <f t="shared" si="7"/>
        <v>-7.2406158148929835E-3</v>
      </c>
      <c r="P17" s="240">
        <f t="shared" si="8"/>
        <v>-1.2138105069970178</v>
      </c>
      <c r="Q17" s="25">
        <v>518</v>
      </c>
      <c r="R17" s="26">
        <f t="shared" si="9"/>
        <v>1.7169373549883991E-3</v>
      </c>
      <c r="S17" s="355">
        <f t="shared" si="10"/>
        <v>-1.1852646638054363</v>
      </c>
    </row>
    <row r="18" spans="1:20" ht="15.75" x14ac:dyDescent="0.25">
      <c r="A18" s="342" t="s">
        <v>68</v>
      </c>
      <c r="B18" s="25">
        <v>235</v>
      </c>
      <c r="C18" s="26">
        <f t="shared" si="0"/>
        <v>5.5119292221377837E-4</v>
      </c>
      <c r="D18" s="253" t="s">
        <v>56</v>
      </c>
      <c r="E18" s="95">
        <v>-535</v>
      </c>
      <c r="F18" s="28">
        <f t="shared" si="1"/>
        <v>-1.3377039998599786E-3</v>
      </c>
      <c r="G18" s="240">
        <f t="shared" si="2"/>
        <v>-3.2765957446808511</v>
      </c>
      <c r="H18" s="95">
        <v>-273</v>
      </c>
      <c r="I18" s="29">
        <f t="shared" si="3"/>
        <v>-7.7304042746587152E-4</v>
      </c>
      <c r="J18" s="361">
        <f t="shared" si="4"/>
        <v>-0.48971962616822429</v>
      </c>
      <c r="K18" s="27">
        <v>133</v>
      </c>
      <c r="L18" s="28">
        <f t="shared" si="5"/>
        <v>3.4802632439716866E-4</v>
      </c>
      <c r="M18" s="238">
        <f t="shared" si="6"/>
        <v>-1.4871794871794872</v>
      </c>
      <c r="N18" s="27">
        <v>110</v>
      </c>
      <c r="O18" s="26">
        <f t="shared" si="7"/>
        <v>2.8485970659450219E-4</v>
      </c>
      <c r="P18" s="245">
        <f t="shared" si="8"/>
        <v>-0.17293233082706766</v>
      </c>
      <c r="Q18" s="65">
        <v>118</v>
      </c>
      <c r="R18" s="26">
        <f t="shared" si="9"/>
        <v>3.9111700364600599E-4</v>
      </c>
      <c r="S18" s="240">
        <f t="shared" si="10"/>
        <v>7.2727272727272724E-2</v>
      </c>
    </row>
    <row r="19" spans="1:20" ht="16.5" thickBot="1" x14ac:dyDescent="0.3">
      <c r="A19" s="343" t="s">
        <v>69</v>
      </c>
      <c r="B19" s="208">
        <v>37</v>
      </c>
      <c r="C19" s="34">
        <f t="shared" si="0"/>
        <v>8.6783566476211925E-5</v>
      </c>
      <c r="D19" s="252" t="s">
        <v>56</v>
      </c>
      <c r="E19" s="33">
        <v>0</v>
      </c>
      <c r="F19" s="36">
        <f t="shared" si="1"/>
        <v>0</v>
      </c>
      <c r="G19" s="354">
        <f t="shared" si="2"/>
        <v>-1</v>
      </c>
      <c r="H19" s="33">
        <v>0</v>
      </c>
      <c r="I19" s="38">
        <f t="shared" si="3"/>
        <v>0</v>
      </c>
      <c r="J19" s="359" t="str">
        <f t="shared" si="4"/>
        <v>-</v>
      </c>
      <c r="K19" s="35">
        <v>0</v>
      </c>
      <c r="L19" s="36">
        <f t="shared" si="5"/>
        <v>0</v>
      </c>
      <c r="M19" s="239" t="str">
        <f t="shared" si="6"/>
        <v>-</v>
      </c>
      <c r="N19" s="37">
        <v>0</v>
      </c>
      <c r="O19" s="34">
        <f t="shared" si="7"/>
        <v>0</v>
      </c>
      <c r="P19" s="246" t="str">
        <f t="shared" si="8"/>
        <v>-</v>
      </c>
      <c r="Q19" s="33">
        <v>0</v>
      </c>
      <c r="R19" s="34">
        <f t="shared" si="9"/>
        <v>0</v>
      </c>
      <c r="S19" s="389" t="str">
        <f t="shared" si="10"/>
        <v>-</v>
      </c>
    </row>
    <row r="20" spans="1:20" ht="17.25" thickTop="1" thickBot="1" x14ac:dyDescent="0.3">
      <c r="A20" s="344" t="s">
        <v>70</v>
      </c>
      <c r="B20" s="207">
        <f>SUM(B8:B19)</f>
        <v>-246845</v>
      </c>
      <c r="C20" s="63">
        <f>B20/B$5</f>
        <v>-0.5789753909951495</v>
      </c>
      <c r="D20" s="85" t="s">
        <v>56</v>
      </c>
      <c r="E20" s="242">
        <f>SUM(E8:E19)</f>
        <v>-208352</v>
      </c>
      <c r="F20" s="62">
        <f>E20/E$5</f>
        <v>-0.52095944631556312</v>
      </c>
      <c r="G20" s="353">
        <f t="shared" si="2"/>
        <v>-0.15593996232453564</v>
      </c>
      <c r="H20" s="242">
        <f>SUM(H8:H19)</f>
        <v>-197274</v>
      </c>
      <c r="I20" s="58">
        <f>H20/H$5</f>
        <v>-0.55861090581649209</v>
      </c>
      <c r="J20" s="260">
        <f t="shared" si="4"/>
        <v>-5.3169636000614348E-2</v>
      </c>
      <c r="K20" s="206">
        <f>SUM(K8:K19)</f>
        <v>-211493</v>
      </c>
      <c r="L20" s="63">
        <f>K20/K$5</f>
        <v>-0.55342204079496538</v>
      </c>
      <c r="M20" s="64">
        <f t="shared" si="6"/>
        <v>7.2077415168750061E-2</v>
      </c>
      <c r="N20" s="242">
        <f>SUM(N8:N19)</f>
        <v>-231282</v>
      </c>
      <c r="O20" s="64">
        <f>N20/N$5</f>
        <v>-0.59893566055081504</v>
      </c>
      <c r="P20" s="62">
        <f t="shared" si="8"/>
        <v>9.356810863716529E-2</v>
      </c>
      <c r="Q20" s="206">
        <f>SUM(Q8:Q19)</f>
        <v>-176950</v>
      </c>
      <c r="R20" s="56">
        <f>Q20/Q$5</f>
        <v>-0.58650977792509118</v>
      </c>
      <c r="S20" s="390">
        <f t="shared" si="10"/>
        <v>-0.23491668179970771</v>
      </c>
    </row>
    <row r="21" spans="1:20" ht="17.25" thickTop="1" thickBot="1" x14ac:dyDescent="0.3">
      <c r="A21" s="340"/>
      <c r="B21" s="47"/>
      <c r="C21" s="60"/>
      <c r="D21" s="257"/>
      <c r="E21" s="217"/>
      <c r="F21" s="59"/>
      <c r="G21" s="234"/>
      <c r="H21" s="47"/>
      <c r="I21" s="362"/>
      <c r="J21" s="257"/>
      <c r="K21" s="216"/>
      <c r="L21" s="61"/>
      <c r="M21" s="233"/>
      <c r="N21" s="217"/>
      <c r="O21" s="59"/>
      <c r="P21" s="234"/>
      <c r="Q21" s="47"/>
      <c r="R21" s="59"/>
      <c r="S21" s="376"/>
      <c r="T21" s="331"/>
    </row>
    <row r="22" spans="1:20" ht="17.25" thickTop="1" thickBot="1" x14ac:dyDescent="0.3">
      <c r="A22" s="338" t="s">
        <v>71</v>
      </c>
      <c r="B22" s="15">
        <f>B5+B20</f>
        <v>179503</v>
      </c>
      <c r="C22" s="56">
        <f t="shared" si="0"/>
        <v>0.4210246090048505</v>
      </c>
      <c r="D22" s="85" t="s">
        <v>56</v>
      </c>
      <c r="E22" s="14">
        <f>E5+E20</f>
        <v>191587</v>
      </c>
      <c r="F22" s="56">
        <f>+E22/E$5</f>
        <v>0.47904055368443688</v>
      </c>
      <c r="G22" s="64">
        <f t="shared" si="2"/>
        <v>6.7319209149707807E-2</v>
      </c>
      <c r="H22" s="243">
        <f>H5+H20</f>
        <v>155877</v>
      </c>
      <c r="I22" s="58">
        <f>+H22/H$5</f>
        <v>0.44138909418350791</v>
      </c>
      <c r="J22" s="260">
        <f t="shared" si="4"/>
        <v>-0.18639051710189106</v>
      </c>
      <c r="K22" s="243">
        <f>K5+K20</f>
        <v>170662</v>
      </c>
      <c r="L22" s="56">
        <f>+K22/K$5</f>
        <v>0.44657795920503462</v>
      </c>
      <c r="M22" s="64">
        <f t="shared" si="6"/>
        <v>9.4850426939189228E-2</v>
      </c>
      <c r="N22" s="243">
        <f>N5+N20</f>
        <v>154873</v>
      </c>
      <c r="O22" s="56">
        <f>+N22/N$5</f>
        <v>0.4010643394491849</v>
      </c>
      <c r="P22" s="62">
        <f t="shared" si="8"/>
        <v>-9.2516201614887911E-2</v>
      </c>
      <c r="Q22" s="243">
        <f>Q5+Q20</f>
        <v>124750</v>
      </c>
      <c r="R22" s="56">
        <f>+Q22/Q$5</f>
        <v>0.41349022207490888</v>
      </c>
      <c r="S22" s="390">
        <f t="shared" si="10"/>
        <v>-0.19450130106603475</v>
      </c>
    </row>
    <row r="23" spans="1:20" ht="17.25" thickTop="1" thickBot="1" x14ac:dyDescent="0.3">
      <c r="A23" s="340"/>
      <c r="B23" s="50"/>
      <c r="C23" s="230"/>
      <c r="D23" s="268"/>
      <c r="E23" s="50"/>
      <c r="F23" s="49"/>
      <c r="G23" s="247"/>
      <c r="H23" s="50"/>
      <c r="I23" s="256"/>
      <c r="J23" s="357"/>
      <c r="K23" s="50"/>
      <c r="L23" s="51"/>
      <c r="M23" s="369"/>
      <c r="N23" s="50"/>
      <c r="O23" s="230"/>
      <c r="P23" s="377"/>
      <c r="Q23" s="50"/>
      <c r="R23" s="83"/>
      <c r="S23" s="386"/>
      <c r="T23" s="331"/>
    </row>
    <row r="24" spans="1:20" ht="17.25" thickTop="1" thickBot="1" x14ac:dyDescent="0.3">
      <c r="A24" s="338" t="s">
        <v>72</v>
      </c>
      <c r="B24" s="54"/>
      <c r="C24" s="270"/>
      <c r="D24" s="269"/>
      <c r="E24" s="54"/>
      <c r="F24" s="80"/>
      <c r="G24" s="248"/>
      <c r="H24" s="54"/>
      <c r="I24" s="255"/>
      <c r="J24" s="358"/>
      <c r="K24" s="54"/>
      <c r="L24" s="81"/>
      <c r="M24" s="261"/>
      <c r="N24" s="54"/>
      <c r="O24" s="232"/>
      <c r="P24" s="378"/>
      <c r="Q24" s="334"/>
      <c r="R24" s="270"/>
      <c r="S24" s="378"/>
    </row>
    <row r="25" spans="1:20" ht="16.5" thickTop="1" x14ac:dyDescent="0.25">
      <c r="A25" s="345" t="s">
        <v>73</v>
      </c>
      <c r="B25" s="70">
        <v>5575</v>
      </c>
      <c r="C25" s="69">
        <f t="shared" si="0"/>
        <v>1.3076172516348147E-2</v>
      </c>
      <c r="D25" s="266" t="s">
        <v>56</v>
      </c>
      <c r="E25" s="70">
        <v>2672</v>
      </c>
      <c r="F25" s="69">
        <f t="shared" ref="F25:F30" si="11">+E25/E$5</f>
        <v>6.6810188553754445E-3</v>
      </c>
      <c r="G25" s="249">
        <f t="shared" si="2"/>
        <v>-0.52071748878923763</v>
      </c>
      <c r="H25" s="70">
        <v>1449</v>
      </c>
      <c r="I25" s="73">
        <f t="shared" ref="I25:I30" si="12">+H25/H$5</f>
        <v>4.1030607303957798E-3</v>
      </c>
      <c r="J25" s="251">
        <f t="shared" si="4"/>
        <v>-0.45770958083832336</v>
      </c>
      <c r="K25" s="71">
        <v>477</v>
      </c>
      <c r="L25" s="72">
        <f t="shared" ref="L25:L30" si="13">+K25/K$5</f>
        <v>1.2481846371236803E-3</v>
      </c>
      <c r="M25" s="244">
        <f t="shared" si="6"/>
        <v>-0.67080745341614911</v>
      </c>
      <c r="N25" s="70">
        <v>1495</v>
      </c>
      <c r="O25" s="69">
        <f t="shared" ref="O25:O30" si="14">+N25/N$5</f>
        <v>3.8715023759889164E-3</v>
      </c>
      <c r="P25" s="381">
        <f t="shared" si="8"/>
        <v>2.1341719077568135</v>
      </c>
      <c r="Q25" s="379">
        <v>448</v>
      </c>
      <c r="R25" s="69">
        <f t="shared" ref="R25:R30" si="15">+Q25/Q$5</f>
        <v>1.4849187935034804E-3</v>
      </c>
      <c r="S25" s="244">
        <f t="shared" si="10"/>
        <v>-0.70033444816053514</v>
      </c>
    </row>
    <row r="26" spans="1:20" ht="15.75" x14ac:dyDescent="0.25">
      <c r="A26" s="346" t="s">
        <v>74</v>
      </c>
      <c r="B26" s="95">
        <v>-68420</v>
      </c>
      <c r="C26" s="74">
        <f t="shared" si="0"/>
        <v>-0.16047923292709243</v>
      </c>
      <c r="D26" s="259" t="s">
        <v>56</v>
      </c>
      <c r="E26" s="95">
        <v>-86817</v>
      </c>
      <c r="F26" s="74">
        <f t="shared" si="11"/>
        <v>-0.21707560402961451</v>
      </c>
      <c r="G26" s="355">
        <f t="shared" si="2"/>
        <v>0.2688833674364221</v>
      </c>
      <c r="H26" s="95">
        <v>-71949</v>
      </c>
      <c r="I26" s="75">
        <f t="shared" si="12"/>
        <v>-0.20373437991114282</v>
      </c>
      <c r="J26" s="364">
        <f t="shared" si="4"/>
        <v>-0.17125678150592627</v>
      </c>
      <c r="K26" s="95">
        <v>-75441</v>
      </c>
      <c r="L26" s="74">
        <f t="shared" si="13"/>
        <v>-0.19740942811163009</v>
      </c>
      <c r="M26" s="250">
        <f t="shared" si="6"/>
        <v>4.8534378518116997E-2</v>
      </c>
      <c r="N26" s="95">
        <v>-74734</v>
      </c>
      <c r="O26" s="74">
        <f t="shared" si="14"/>
        <v>-0.19353368466030479</v>
      </c>
      <c r="P26" s="240">
        <f t="shared" si="8"/>
        <v>-9.3715618827958265E-3</v>
      </c>
      <c r="Q26" s="95">
        <v>-56923</v>
      </c>
      <c r="R26" s="74">
        <f t="shared" si="15"/>
        <v>-0.1886741796486576</v>
      </c>
      <c r="S26" s="240">
        <f t="shared" si="10"/>
        <v>-0.23832526025637596</v>
      </c>
    </row>
    <row r="27" spans="1:20" ht="15.75" x14ac:dyDescent="0.25">
      <c r="A27" s="346" t="s">
        <v>75</v>
      </c>
      <c r="B27" s="65">
        <v>0</v>
      </c>
      <c r="C27" s="32">
        <f t="shared" si="0"/>
        <v>0</v>
      </c>
      <c r="D27" s="267" t="s">
        <v>56</v>
      </c>
      <c r="E27" s="65">
        <v>0</v>
      </c>
      <c r="F27" s="32">
        <f t="shared" si="11"/>
        <v>0</v>
      </c>
      <c r="G27" s="355" t="str">
        <f t="shared" si="2"/>
        <v>-</v>
      </c>
      <c r="H27" s="65">
        <v>0</v>
      </c>
      <c r="I27" s="75">
        <f t="shared" si="12"/>
        <v>0</v>
      </c>
      <c r="J27" s="364" t="str">
        <f t="shared" si="4"/>
        <v>-</v>
      </c>
      <c r="K27" s="65">
        <v>0</v>
      </c>
      <c r="L27" s="74">
        <f t="shared" si="13"/>
        <v>0</v>
      </c>
      <c r="M27" s="240" t="str">
        <f t="shared" si="6"/>
        <v>-</v>
      </c>
      <c r="N27" s="65">
        <v>0</v>
      </c>
      <c r="O27" s="32">
        <f t="shared" si="14"/>
        <v>0</v>
      </c>
      <c r="P27" s="245" t="str">
        <f t="shared" si="8"/>
        <v>-</v>
      </c>
      <c r="Q27" s="65">
        <v>295</v>
      </c>
      <c r="R27" s="32">
        <f t="shared" si="15"/>
        <v>9.7779250911501502E-4</v>
      </c>
      <c r="S27" s="388" t="str">
        <f t="shared" si="10"/>
        <v>-</v>
      </c>
    </row>
    <row r="28" spans="1:20" ht="15.75" x14ac:dyDescent="0.25">
      <c r="A28" s="346" t="s">
        <v>76</v>
      </c>
      <c r="B28" s="65">
        <v>109</v>
      </c>
      <c r="C28" s="32">
        <f t="shared" si="0"/>
        <v>2.5565969583532701E-4</v>
      </c>
      <c r="D28" s="259" t="s">
        <v>56</v>
      </c>
      <c r="E28" s="25">
        <v>3892</v>
      </c>
      <c r="F28" s="32">
        <f t="shared" si="11"/>
        <v>9.7314840513178253E-3</v>
      </c>
      <c r="G28" s="355">
        <f t="shared" si="2"/>
        <v>34.706422018348626</v>
      </c>
      <c r="H28" s="97">
        <v>-306</v>
      </c>
      <c r="I28" s="75">
        <f t="shared" si="12"/>
        <v>-8.6648487474196587E-4</v>
      </c>
      <c r="J28" s="364">
        <f t="shared" si="4"/>
        <v>-1.0786228160328879</v>
      </c>
      <c r="K28" s="65">
        <v>603</v>
      </c>
      <c r="L28" s="371">
        <f t="shared" si="13"/>
        <v>1.5778937865525769E-3</v>
      </c>
      <c r="M28" s="373">
        <f t="shared" si="6"/>
        <v>-2.9705882352941178</v>
      </c>
      <c r="N28" s="370">
        <v>-43</v>
      </c>
      <c r="O28" s="74">
        <f t="shared" si="14"/>
        <v>-1.1135424894148722E-4</v>
      </c>
      <c r="P28" s="240">
        <f t="shared" si="8"/>
        <v>-1.0713101160862355</v>
      </c>
      <c r="Q28" s="65">
        <v>844</v>
      </c>
      <c r="R28" s="32">
        <f t="shared" si="15"/>
        <v>2.7974809413324492E-3</v>
      </c>
      <c r="S28" s="355">
        <f t="shared" si="10"/>
        <v>-20.627906976744185</v>
      </c>
    </row>
    <row r="29" spans="1:20" ht="16.5" thickBot="1" x14ac:dyDescent="0.3">
      <c r="A29" s="347" t="s">
        <v>77</v>
      </c>
      <c r="B29" s="96">
        <v>-16988</v>
      </c>
      <c r="C29" s="78">
        <f t="shared" si="0"/>
        <v>-3.9845384521564546E-2</v>
      </c>
      <c r="D29" s="252" t="s">
        <v>56</v>
      </c>
      <c r="E29" s="76">
        <v>5595</v>
      </c>
      <c r="F29" s="77">
        <f t="shared" si="11"/>
        <v>1.3989633419096412E-2</v>
      </c>
      <c r="G29" s="246">
        <f t="shared" si="2"/>
        <v>-1.3293501295031787</v>
      </c>
      <c r="H29" s="96">
        <v>-4459</v>
      </c>
      <c r="I29" s="213">
        <f t="shared" si="12"/>
        <v>-1.2626326981942569E-2</v>
      </c>
      <c r="J29" s="363">
        <f t="shared" si="4"/>
        <v>-1.7969615728328865</v>
      </c>
      <c r="K29" s="96">
        <v>-8709</v>
      </c>
      <c r="L29" s="372">
        <f t="shared" si="13"/>
        <v>-2.2789182399811595E-2</v>
      </c>
      <c r="M29" s="374">
        <f t="shared" si="6"/>
        <v>0.95312850414891226</v>
      </c>
      <c r="N29" s="99">
        <v>-462</v>
      </c>
      <c r="O29" s="78">
        <f t="shared" si="14"/>
        <v>-1.1964107676969093E-3</v>
      </c>
      <c r="P29" s="382">
        <f t="shared" si="8"/>
        <v>-0.94695142955563205</v>
      </c>
      <c r="Q29" s="76">
        <v>6821</v>
      </c>
      <c r="R29" s="77">
        <f t="shared" si="15"/>
        <v>2.2608551541266158E-2</v>
      </c>
      <c r="S29" s="246">
        <f t="shared" si="10"/>
        <v>-15.764069264069263</v>
      </c>
    </row>
    <row r="30" spans="1:20" ht="17.25" thickTop="1" thickBot="1" x14ac:dyDescent="0.3">
      <c r="A30" s="338" t="s">
        <v>78</v>
      </c>
      <c r="B30" s="206">
        <f>SUM(B25:B29)</f>
        <v>-79724</v>
      </c>
      <c r="C30" s="63">
        <f>+B30/B$5</f>
        <v>-0.1869927852364735</v>
      </c>
      <c r="D30" s="85" t="s">
        <v>56</v>
      </c>
      <c r="E30" s="206">
        <f>SUM(E25:E29)</f>
        <v>-74658</v>
      </c>
      <c r="F30" s="63">
        <f t="shared" si="11"/>
        <v>-0.18667346770382484</v>
      </c>
      <c r="G30" s="64">
        <f t="shared" si="2"/>
        <v>-6.3544227585168839E-2</v>
      </c>
      <c r="H30" s="206">
        <f>SUM(H25:H29)</f>
        <v>-75265</v>
      </c>
      <c r="I30" s="85">
        <f t="shared" si="12"/>
        <v>-0.21312413103743158</v>
      </c>
      <c r="J30" s="260">
        <f t="shared" si="4"/>
        <v>8.1304079937849928E-3</v>
      </c>
      <c r="K30" s="206">
        <f>SUM(K25:K29)</f>
        <v>-83070</v>
      </c>
      <c r="L30" s="63">
        <f t="shared" si="13"/>
        <v>-0.21737253208776544</v>
      </c>
      <c r="M30" s="179">
        <f t="shared" si="6"/>
        <v>0.10370025908456786</v>
      </c>
      <c r="N30" s="206">
        <f>SUM(N25:N29)</f>
        <v>-73744</v>
      </c>
      <c r="O30" s="63">
        <f t="shared" si="14"/>
        <v>-0.19096994730095429</v>
      </c>
      <c r="P30" s="62">
        <f t="shared" si="8"/>
        <v>-0.11226676297098832</v>
      </c>
      <c r="Q30" s="206">
        <f>SUM(Q25:Q29)</f>
        <v>-48515</v>
      </c>
      <c r="R30" s="63">
        <f t="shared" si="15"/>
        <v>-0.16080543586344051</v>
      </c>
      <c r="S30" s="390">
        <f t="shared" si="10"/>
        <v>-0.34211596875678019</v>
      </c>
    </row>
    <row r="31" spans="1:20" ht="17.25" thickTop="1" thickBot="1" x14ac:dyDescent="0.3">
      <c r="A31" s="348"/>
      <c r="B31" s="41"/>
      <c r="C31" s="59"/>
      <c r="D31" s="254"/>
      <c r="E31" s="47"/>
      <c r="F31" s="60"/>
      <c r="G31" s="45"/>
      <c r="H31" s="46"/>
      <c r="I31" s="82"/>
      <c r="J31" s="356"/>
      <c r="K31" s="46"/>
      <c r="L31" s="375"/>
      <c r="M31" s="45"/>
      <c r="N31" s="47"/>
      <c r="O31" s="57"/>
      <c r="P31" s="234"/>
      <c r="Q31" s="47"/>
      <c r="R31" s="57"/>
      <c r="S31" s="376"/>
      <c r="T31" s="331"/>
    </row>
    <row r="32" spans="1:20" ht="24.75" thickTop="1" thickBot="1" x14ac:dyDescent="0.3">
      <c r="A32" s="349" t="s">
        <v>79</v>
      </c>
      <c r="B32" s="288">
        <f>B22+B30</f>
        <v>99779</v>
      </c>
      <c r="C32" s="294">
        <f t="shared" si="0"/>
        <v>0.234031823768377</v>
      </c>
      <c r="D32" s="292" t="s">
        <v>56</v>
      </c>
      <c r="E32" s="288">
        <f>E22+E30</f>
        <v>116929</v>
      </c>
      <c r="F32" s="289">
        <f>+E32/E$5</f>
        <v>0.29236708598061206</v>
      </c>
      <c r="G32" s="291">
        <f t="shared" si="2"/>
        <v>0.17187985447839726</v>
      </c>
      <c r="H32" s="288">
        <f>H22+H30</f>
        <v>80612</v>
      </c>
      <c r="I32" s="292">
        <f>+H32/H$5</f>
        <v>0.22826496314607633</v>
      </c>
      <c r="J32" s="293">
        <f t="shared" si="4"/>
        <v>-0.31059018720762172</v>
      </c>
      <c r="K32" s="288">
        <f>K22+K30</f>
        <v>87592</v>
      </c>
      <c r="L32" s="289">
        <f>+K32/K$5</f>
        <v>0.22920542711726918</v>
      </c>
      <c r="M32" s="291">
        <f t="shared" si="6"/>
        <v>8.6587604823103265E-2</v>
      </c>
      <c r="N32" s="288">
        <f>N22+N30</f>
        <v>81129</v>
      </c>
      <c r="O32" s="289">
        <f>+N32/N$5</f>
        <v>0.21009439214823064</v>
      </c>
      <c r="P32" s="290">
        <f t="shared" si="8"/>
        <v>-7.3785277194264323E-2</v>
      </c>
      <c r="Q32" s="288">
        <f>Q22+Q30</f>
        <v>76235</v>
      </c>
      <c r="R32" s="289">
        <f>+Q32/Q$5</f>
        <v>0.25268478621146834</v>
      </c>
      <c r="S32" s="391">
        <f t="shared" si="10"/>
        <v>-6.0323682037249318E-2</v>
      </c>
    </row>
    <row r="33" spans="1:20" ht="16.5" thickTop="1" thickBot="1" x14ac:dyDescent="0.3">
      <c r="A33" s="350"/>
      <c r="B33" s="47"/>
      <c r="C33" s="41"/>
      <c r="D33" s="263"/>
      <c r="E33" s="47"/>
      <c r="F33" s="50"/>
      <c r="G33" s="214"/>
      <c r="H33" s="47"/>
      <c r="I33" s="41"/>
      <c r="J33" s="226"/>
      <c r="K33" s="84"/>
      <c r="L33" s="50"/>
      <c r="M33" s="214"/>
      <c r="N33" s="84"/>
      <c r="O33" s="49"/>
      <c r="P33" s="83"/>
      <c r="Q33" s="47"/>
      <c r="R33" s="83"/>
      <c r="S33" s="223"/>
    </row>
    <row r="34" spans="1:20" ht="16.5" thickTop="1" thickBot="1" x14ac:dyDescent="0.3">
      <c r="A34" s="351" t="s">
        <v>80</v>
      </c>
      <c r="B34" s="631">
        <f>B32*1000/B35</f>
        <v>2.1229574468085106</v>
      </c>
      <c r="C34" s="89"/>
      <c r="D34" s="262"/>
      <c r="E34" s="631">
        <f>E32*1000/E35</f>
        <v>2.4878510638297873</v>
      </c>
      <c r="F34" s="89"/>
      <c r="G34" s="227"/>
      <c r="H34" s="632">
        <f>H32*1000/H35</f>
        <v>1.6413434819502</v>
      </c>
      <c r="I34" s="89"/>
      <c r="J34" s="227"/>
      <c r="K34" s="631">
        <f>K32*1000/K35</f>
        <v>1.4526036484245439</v>
      </c>
      <c r="L34" s="225"/>
      <c r="M34" s="224"/>
      <c r="N34" s="633">
        <f>N32*1000/N35</f>
        <v>1.1999051896088024</v>
      </c>
      <c r="O34" s="220"/>
      <c r="P34" s="221"/>
      <c r="Q34" s="631">
        <f>Q32*1000/Q35</f>
        <v>1.0191844919786097</v>
      </c>
      <c r="R34" s="86"/>
      <c r="S34" s="330"/>
      <c r="T34" s="331"/>
    </row>
    <row r="35" spans="1:20" ht="16.5" thickTop="1" thickBot="1" x14ac:dyDescent="0.3">
      <c r="A35" s="352" t="s">
        <v>81</v>
      </c>
      <c r="B35" s="92">
        <v>47000000</v>
      </c>
      <c r="C35" s="41"/>
      <c r="D35" s="262"/>
      <c r="E35" s="90">
        <v>47000000</v>
      </c>
      <c r="F35" s="89"/>
      <c r="G35" s="227"/>
      <c r="H35" s="90">
        <v>49113425</v>
      </c>
      <c r="I35" s="328"/>
      <c r="J35" s="329"/>
      <c r="K35" s="90">
        <v>60300000</v>
      </c>
      <c r="L35" s="225"/>
      <c r="M35" s="224"/>
      <c r="N35" s="90">
        <v>67612842</v>
      </c>
      <c r="O35" s="222"/>
      <c r="P35" s="221"/>
      <c r="Q35" s="90">
        <v>74800000</v>
      </c>
      <c r="R35" s="222"/>
      <c r="S35" s="332"/>
    </row>
    <row r="36" spans="1:20" ht="15.75" thickTop="1" x14ac:dyDescent="0.25">
      <c r="A36" s="584"/>
      <c r="C36" s="93"/>
      <c r="S36" s="219"/>
    </row>
  </sheetData>
  <mergeCells count="2">
    <mergeCell ref="H1:M1"/>
    <mergeCell ref="H2:M2"/>
  </mergeCells>
  <pageMargins left="0.7" right="0.7" top="0.75" bottom="0.75" header="0.3" footer="0.3"/>
  <pageSetup orientation="portrait" r:id="rId1"/>
  <ignoredErrors>
    <ignoredError sqref="B22 B32 B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3"/>
  <sheetViews>
    <sheetView topLeftCell="A30" zoomScaleNormal="100" workbookViewId="0">
      <selection activeCell="T16" sqref="T16"/>
    </sheetView>
  </sheetViews>
  <sheetFormatPr defaultRowHeight="15" x14ac:dyDescent="0.25"/>
  <cols>
    <col min="1" max="1" width="75.140625" customWidth="1"/>
    <col min="2" max="7" width="10" customWidth="1"/>
  </cols>
  <sheetData>
    <row r="1" spans="1:15" ht="19.5" thickTop="1" x14ac:dyDescent="0.25">
      <c r="A1" s="683" t="s">
        <v>82</v>
      </c>
      <c r="B1" s="684"/>
      <c r="C1" s="684"/>
      <c r="D1" s="684"/>
      <c r="E1" s="684"/>
      <c r="F1" s="684"/>
      <c r="G1" s="685"/>
      <c r="H1" s="392"/>
    </row>
    <row r="2" spans="1:15" ht="16.5" thickBot="1" x14ac:dyDescent="0.3">
      <c r="A2" s="686" t="s">
        <v>83</v>
      </c>
      <c r="B2" s="687"/>
      <c r="C2" s="687"/>
      <c r="D2" s="687"/>
      <c r="E2" s="687"/>
      <c r="F2" s="687"/>
      <c r="G2" s="688"/>
      <c r="H2" s="392"/>
    </row>
    <row r="3" spans="1:15" ht="20.25" thickTop="1" thickBot="1" x14ac:dyDescent="0.35">
      <c r="A3" s="396"/>
      <c r="B3" s="18">
        <v>2008</v>
      </c>
      <c r="C3" s="16">
        <v>2009</v>
      </c>
      <c r="D3" s="16">
        <v>2010</v>
      </c>
      <c r="E3" s="16">
        <v>2011</v>
      </c>
      <c r="F3" s="17">
        <v>2012</v>
      </c>
      <c r="G3" s="393" t="s">
        <v>3</v>
      </c>
      <c r="H3" s="392"/>
    </row>
    <row r="4" spans="1:15" ht="17.25" thickTop="1" thickBot="1" x14ac:dyDescent="0.3">
      <c r="A4" s="397" t="s">
        <v>84</v>
      </c>
      <c r="B4" s="340"/>
      <c r="C4" s="47"/>
      <c r="D4" s="47"/>
      <c r="E4" s="285"/>
      <c r="F4" s="395"/>
      <c r="G4" s="394"/>
      <c r="H4" s="331"/>
    </row>
    <row r="5" spans="1:15" ht="17.25" thickTop="1" thickBot="1" x14ac:dyDescent="0.3">
      <c r="A5" s="398" t="s">
        <v>85</v>
      </c>
      <c r="B5" s="275">
        <v>99779</v>
      </c>
      <c r="C5" s="274">
        <v>116929</v>
      </c>
      <c r="D5" s="274">
        <v>81224</v>
      </c>
      <c r="E5" s="274">
        <v>87592</v>
      </c>
      <c r="F5" s="274">
        <v>81129</v>
      </c>
      <c r="G5" s="274">
        <v>76235</v>
      </c>
      <c r="K5" s="581"/>
    </row>
    <row r="6" spans="1:15" ht="16.5" thickTop="1" thickBot="1" x14ac:dyDescent="0.3">
      <c r="A6" s="399" t="s">
        <v>86</v>
      </c>
      <c r="B6" s="340"/>
      <c r="C6" s="46"/>
      <c r="D6" s="46"/>
      <c r="E6" s="217"/>
      <c r="F6" s="46"/>
      <c r="G6" s="108"/>
      <c r="H6" s="331"/>
      <c r="J6" s="43">
        <v>2008</v>
      </c>
      <c r="K6" s="586">
        <v>2009</v>
      </c>
      <c r="L6" s="91">
        <v>2010</v>
      </c>
      <c r="M6" s="587">
        <v>2011</v>
      </c>
      <c r="N6" s="11">
        <v>2012</v>
      </c>
    </row>
    <row r="7" spans="1:15" ht="16.5" thickTop="1" thickBot="1" x14ac:dyDescent="0.3">
      <c r="A7" s="582" t="s">
        <v>87</v>
      </c>
      <c r="B7" s="195">
        <v>72256</v>
      </c>
      <c r="C7" s="70">
        <v>71148</v>
      </c>
      <c r="D7" s="70">
        <v>70887</v>
      </c>
      <c r="E7" s="70">
        <v>78803</v>
      </c>
      <c r="F7" s="70">
        <v>80333</v>
      </c>
      <c r="G7" s="271"/>
      <c r="I7" s="585" t="s">
        <v>88</v>
      </c>
      <c r="J7" s="485">
        <f>'INCOME STATEMENT'!B22+'CASH FLOW STATEMENT'!B7+'CASH FLOW STATEMENT'!B8+'CASH FLOW STATEMENT'!B9+'CASH FLOW STATEMENT'!B10</f>
        <v>257809</v>
      </c>
      <c r="K7" s="508">
        <f>'INCOME STATEMENT'!E22+'CASH FLOW STATEMENT'!C7+'CASH FLOW STATEMENT'!C8+'CASH FLOW STATEMENT'!C9+'CASH FLOW STATEMENT'!C10</f>
        <v>268089</v>
      </c>
      <c r="L7" s="468">
        <f>'INCOME STATEMENT'!H22+'CASH FLOW STATEMENT'!D7+'CASH FLOW STATEMENT'!D8+'CASH FLOW STATEMENT'!D9+'CASH FLOW STATEMENT'!D10</f>
        <v>236406</v>
      </c>
      <c r="M7" s="468">
        <f>'INCOME STATEMENT'!K22+'CASH FLOW STATEMENT'!E7+'CASH FLOW STATEMENT'!E8+'CASH FLOW STATEMENT'!E9+'CASH FLOW STATEMENT'!E10</f>
        <v>259701</v>
      </c>
      <c r="N7" s="468">
        <f>'INCOME STATEMENT'!N22+'CASH FLOW STATEMENT'!F7+'CASH FLOW STATEMENT'!F8+'CASH FLOW STATEMENT'!F9+'CASH FLOW STATEMENT'!F10</f>
        <v>244111</v>
      </c>
      <c r="O7" s="432"/>
    </row>
    <row r="8" spans="1:15" ht="15.75" thickTop="1" x14ac:dyDescent="0.25">
      <c r="A8" s="583" t="s">
        <v>89</v>
      </c>
      <c r="B8" s="27">
        <v>964</v>
      </c>
      <c r="C8" s="197">
        <v>746</v>
      </c>
      <c r="D8" s="25">
        <v>1827</v>
      </c>
      <c r="E8" s="25">
        <v>2747</v>
      </c>
      <c r="F8" s="197">
        <v>1157</v>
      </c>
      <c r="G8" s="272"/>
      <c r="J8" s="584"/>
      <c r="K8" s="584"/>
      <c r="L8" s="584"/>
      <c r="M8" s="584"/>
      <c r="N8" s="584"/>
    </row>
    <row r="9" spans="1:15" x14ac:dyDescent="0.25">
      <c r="A9" s="583" t="s">
        <v>90</v>
      </c>
      <c r="B9" s="27">
        <v>6722</v>
      </c>
      <c r="C9" s="197">
        <v>7986</v>
      </c>
      <c r="D9" s="25">
        <v>8465</v>
      </c>
      <c r="E9" s="25">
        <v>8139</v>
      </c>
      <c r="F9" s="25">
        <v>8179</v>
      </c>
      <c r="G9" s="272"/>
    </row>
    <row r="10" spans="1:15" x14ac:dyDescent="0.25">
      <c r="A10" s="583" t="s">
        <v>91</v>
      </c>
      <c r="B10" s="98">
        <v>-1636</v>
      </c>
      <c r="C10" s="424">
        <v>-3378</v>
      </c>
      <c r="D10" s="95">
        <v>-650</v>
      </c>
      <c r="E10" s="95">
        <v>-650</v>
      </c>
      <c r="F10" s="95">
        <v>-431</v>
      </c>
      <c r="G10" s="272"/>
    </row>
    <row r="11" spans="1:15" x14ac:dyDescent="0.25">
      <c r="A11" s="346" t="s">
        <v>92</v>
      </c>
      <c r="B11" s="27">
        <v>0</v>
      </c>
      <c r="C11" s="197">
        <v>0</v>
      </c>
      <c r="D11" s="25">
        <v>0</v>
      </c>
      <c r="E11" s="424">
        <v>-2752</v>
      </c>
      <c r="F11" s="95">
        <v>-3196</v>
      </c>
      <c r="G11" s="272"/>
    </row>
    <row r="12" spans="1:15" x14ac:dyDescent="0.25">
      <c r="A12" s="346" t="s">
        <v>93</v>
      </c>
      <c r="B12" s="27">
        <v>16657</v>
      </c>
      <c r="C12" s="424">
        <v>-5595</v>
      </c>
      <c r="D12" s="25">
        <v>4459</v>
      </c>
      <c r="E12" s="25">
        <v>8709</v>
      </c>
      <c r="F12" s="25">
        <v>462</v>
      </c>
      <c r="G12" s="272"/>
    </row>
    <row r="13" spans="1:15" x14ac:dyDescent="0.25">
      <c r="A13" s="346" t="s">
        <v>94</v>
      </c>
      <c r="B13" s="422">
        <v>-95</v>
      </c>
      <c r="C13" s="424">
        <v>-2854</v>
      </c>
      <c r="D13" s="424">
        <v>-9588</v>
      </c>
      <c r="E13" s="424">
        <v>-13077</v>
      </c>
      <c r="F13" s="197">
        <v>2796</v>
      </c>
      <c r="G13" s="272"/>
    </row>
    <row r="14" spans="1:15" ht="15.75" thickBot="1" x14ac:dyDescent="0.3">
      <c r="A14" s="400" t="s">
        <v>95</v>
      </c>
      <c r="B14" s="423">
        <v>-341</v>
      </c>
      <c r="C14" s="423">
        <v>-108</v>
      </c>
      <c r="D14" s="423">
        <v>-148</v>
      </c>
      <c r="E14" s="208">
        <v>8</v>
      </c>
      <c r="F14" s="208">
        <v>0</v>
      </c>
      <c r="G14" s="273"/>
    </row>
    <row r="15" spans="1:15" ht="16.5" thickTop="1" thickBot="1" x14ac:dyDescent="0.3">
      <c r="A15" s="399" t="s">
        <v>96</v>
      </c>
      <c r="B15" s="340"/>
      <c r="C15" s="102"/>
      <c r="D15" s="47"/>
      <c r="E15" s="284"/>
      <c r="F15" s="282"/>
      <c r="G15" s="394"/>
      <c r="H15" s="331"/>
    </row>
    <row r="16" spans="1:15" ht="15.75" thickTop="1" x14ac:dyDescent="0.25">
      <c r="A16" s="401" t="s">
        <v>97</v>
      </c>
      <c r="B16" s="199">
        <v>705</v>
      </c>
      <c r="C16" s="424">
        <v>-2039</v>
      </c>
      <c r="D16" s="424">
        <v>-225</v>
      </c>
      <c r="E16" s="197">
        <v>1210</v>
      </c>
      <c r="F16" s="424">
        <v>-87</v>
      </c>
      <c r="G16" s="271"/>
    </row>
    <row r="17" spans="1:8" x14ac:dyDescent="0.25">
      <c r="A17" s="346" t="s">
        <v>98</v>
      </c>
      <c r="B17" s="199">
        <v>95274</v>
      </c>
      <c r="C17" s="197">
        <v>4538</v>
      </c>
      <c r="D17" s="197">
        <v>7009</v>
      </c>
      <c r="E17" s="424">
        <v>-2288</v>
      </c>
      <c r="F17" s="197">
        <v>969</v>
      </c>
      <c r="G17" s="272"/>
    </row>
    <row r="18" spans="1:8" x14ac:dyDescent="0.25">
      <c r="A18" s="346" t="s">
        <v>99</v>
      </c>
      <c r="B18" s="99">
        <v>-1303</v>
      </c>
      <c r="C18" s="76">
        <v>1108</v>
      </c>
      <c r="D18" s="76">
        <v>1945</v>
      </c>
      <c r="E18" s="76">
        <v>199</v>
      </c>
      <c r="F18" s="96">
        <v>-63</v>
      </c>
      <c r="G18" s="272"/>
    </row>
    <row r="19" spans="1:8" x14ac:dyDescent="0.25">
      <c r="A19" s="346" t="s">
        <v>100</v>
      </c>
      <c r="B19" s="95">
        <v>-3148</v>
      </c>
      <c r="C19" s="25">
        <v>2472</v>
      </c>
      <c r="D19" s="95">
        <v>-71</v>
      </c>
      <c r="E19" s="95">
        <v>-2329</v>
      </c>
      <c r="F19" s="25">
        <v>1622</v>
      </c>
      <c r="G19" s="272"/>
    </row>
    <row r="20" spans="1:8" x14ac:dyDescent="0.25">
      <c r="A20" s="346" t="s">
        <v>101</v>
      </c>
      <c r="B20" s="199">
        <v>137</v>
      </c>
      <c r="C20" s="197">
        <v>431</v>
      </c>
      <c r="D20" s="424">
        <v>-763</v>
      </c>
      <c r="E20" s="197">
        <v>518</v>
      </c>
      <c r="F20" s="197">
        <v>48</v>
      </c>
      <c r="G20" s="272"/>
      <c r="H20" s="425"/>
    </row>
    <row r="21" spans="1:8" x14ac:dyDescent="0.25">
      <c r="A21" s="346" t="s">
        <v>102</v>
      </c>
      <c r="B21" s="422">
        <v>-4406</v>
      </c>
      <c r="C21" s="197">
        <v>4996</v>
      </c>
      <c r="D21" s="424">
        <v>-4694</v>
      </c>
      <c r="E21" s="424">
        <v>-71</v>
      </c>
      <c r="F21" s="197">
        <v>1825</v>
      </c>
      <c r="G21" s="272"/>
    </row>
    <row r="22" spans="1:8" x14ac:dyDescent="0.25">
      <c r="A22" s="346" t="s">
        <v>103</v>
      </c>
      <c r="B22" s="199">
        <v>270</v>
      </c>
      <c r="C22" s="197">
        <v>6983</v>
      </c>
      <c r="D22" s="424">
        <v>-7253</v>
      </c>
      <c r="E22" s="197">
        <v>0</v>
      </c>
      <c r="F22" s="197">
        <v>0</v>
      </c>
      <c r="G22" s="272"/>
    </row>
    <row r="23" spans="1:8" x14ac:dyDescent="0.25">
      <c r="A23" s="346" t="s">
        <v>104</v>
      </c>
      <c r="B23" s="422">
        <v>-4210</v>
      </c>
      <c r="C23" s="424">
        <v>-8447</v>
      </c>
      <c r="D23" s="197">
        <v>1995</v>
      </c>
      <c r="E23" s="197">
        <v>665</v>
      </c>
      <c r="F23" s="424">
        <v>-1162</v>
      </c>
      <c r="G23" s="272"/>
    </row>
    <row r="24" spans="1:8" x14ac:dyDescent="0.25">
      <c r="A24" s="346" t="s">
        <v>105</v>
      </c>
      <c r="B24" s="422">
        <v>-4088</v>
      </c>
      <c r="C24" s="424">
        <v>-3906</v>
      </c>
      <c r="D24" s="197">
        <v>529</v>
      </c>
      <c r="E24" s="197">
        <v>2888</v>
      </c>
      <c r="F24" s="424">
        <v>-901</v>
      </c>
      <c r="G24" s="272"/>
    </row>
    <row r="25" spans="1:8" x14ac:dyDescent="0.25">
      <c r="A25" s="346" t="s">
        <v>106</v>
      </c>
      <c r="B25" s="422">
        <v>-3779</v>
      </c>
      <c r="C25" s="424">
        <v>-692</v>
      </c>
      <c r="D25" s="424">
        <v>-701</v>
      </c>
      <c r="E25" s="197">
        <v>677</v>
      </c>
      <c r="F25" s="197">
        <v>344</v>
      </c>
      <c r="G25" s="272"/>
    </row>
    <row r="26" spans="1:8" x14ac:dyDescent="0.25">
      <c r="A26" s="346" t="s">
        <v>107</v>
      </c>
      <c r="B26" s="98">
        <v>-23362</v>
      </c>
      <c r="C26" s="95">
        <v>-6051</v>
      </c>
      <c r="D26" s="95">
        <v>-12705</v>
      </c>
      <c r="E26" s="95">
        <v>-6122</v>
      </c>
      <c r="F26" s="95">
        <v>-11171</v>
      </c>
      <c r="G26" s="272"/>
    </row>
    <row r="27" spans="1:8" ht="15.75" thickBot="1" x14ac:dyDescent="0.3">
      <c r="A27" s="400" t="s">
        <v>108</v>
      </c>
      <c r="B27" s="37">
        <v>1122</v>
      </c>
      <c r="C27" s="426">
        <v>-22374</v>
      </c>
      <c r="D27" s="426">
        <v>-13596</v>
      </c>
      <c r="E27" s="33">
        <v>30313</v>
      </c>
      <c r="F27" s="33">
        <v>6261</v>
      </c>
      <c r="G27" s="273"/>
    </row>
    <row r="28" spans="1:8" ht="17.25" thickTop="1" thickBot="1" x14ac:dyDescent="0.3">
      <c r="A28" s="398" t="s">
        <v>109</v>
      </c>
      <c r="B28" s="274">
        <f>SUM(B5:B27)</f>
        <v>247518</v>
      </c>
      <c r="C28" s="274">
        <f>SUM(C5:C27)</f>
        <v>161893</v>
      </c>
      <c r="D28" s="274">
        <f>SUM(D5:D27)</f>
        <v>127946</v>
      </c>
      <c r="E28" s="274">
        <f>SUM(E5:E27)</f>
        <v>195179</v>
      </c>
      <c r="F28" s="274">
        <f>SUM(F5:F27)</f>
        <v>168114</v>
      </c>
      <c r="G28" s="275">
        <v>128900</v>
      </c>
    </row>
    <row r="29" spans="1:8" ht="17.25" thickTop="1" thickBot="1" x14ac:dyDescent="0.3">
      <c r="A29" s="397" t="s">
        <v>110</v>
      </c>
      <c r="B29" s="340"/>
      <c r="C29" s="46"/>
      <c r="D29" s="217"/>
      <c r="E29" s="283"/>
      <c r="F29" s="282"/>
      <c r="G29" s="395"/>
    </row>
    <row r="30" spans="1:8" ht="15.75" thickTop="1" x14ac:dyDescent="0.25">
      <c r="A30" s="401" t="s">
        <v>111</v>
      </c>
      <c r="B30" s="70">
        <v>0</v>
      </c>
      <c r="C30" s="427">
        <v>-47903</v>
      </c>
      <c r="D30" s="424">
        <v>-3830</v>
      </c>
      <c r="E30" s="424">
        <v>-148373</v>
      </c>
      <c r="F30" s="424">
        <v>-191179</v>
      </c>
      <c r="G30" s="276"/>
    </row>
    <row r="31" spans="1:8" x14ac:dyDescent="0.25">
      <c r="A31" s="346" t="s">
        <v>112</v>
      </c>
      <c r="B31" s="95">
        <v>-104194</v>
      </c>
      <c r="C31" s="428">
        <v>-8864</v>
      </c>
      <c r="D31" s="95">
        <v>-50781</v>
      </c>
      <c r="E31" s="95">
        <v>-190209</v>
      </c>
      <c r="F31" s="95">
        <v>-74053</v>
      </c>
      <c r="G31" s="272"/>
    </row>
    <row r="32" spans="1:8" x14ac:dyDescent="0.25">
      <c r="A32" s="346" t="s">
        <v>113</v>
      </c>
      <c r="B32" s="95">
        <v>-56881</v>
      </c>
      <c r="C32" s="167">
        <v>0</v>
      </c>
      <c r="D32" s="25">
        <v>0</v>
      </c>
      <c r="E32" s="25">
        <v>0</v>
      </c>
      <c r="F32" s="25">
        <v>0</v>
      </c>
      <c r="G32" s="272"/>
    </row>
    <row r="33" spans="1:8" x14ac:dyDescent="0.25">
      <c r="A33" s="346" t="s">
        <v>114</v>
      </c>
      <c r="B33" s="25">
        <v>21674</v>
      </c>
      <c r="C33" s="167">
        <v>21421</v>
      </c>
      <c r="D33" s="25">
        <v>8030</v>
      </c>
      <c r="E33" s="25">
        <v>6082</v>
      </c>
      <c r="F33" s="65">
        <v>0</v>
      </c>
      <c r="G33" s="272"/>
    </row>
    <row r="34" spans="1:8" ht="15.75" thickBot="1" x14ac:dyDescent="0.3">
      <c r="A34" s="400" t="s">
        <v>115</v>
      </c>
      <c r="B34" s="208">
        <v>1100</v>
      </c>
      <c r="C34" s="278">
        <v>48157</v>
      </c>
      <c r="D34" s="208">
        <v>22731</v>
      </c>
      <c r="E34" s="208">
        <v>48742</v>
      </c>
      <c r="F34" s="208">
        <v>28723</v>
      </c>
      <c r="G34" s="277"/>
    </row>
    <row r="35" spans="1:8" ht="17.25" thickTop="1" thickBot="1" x14ac:dyDescent="0.3">
      <c r="A35" s="398" t="s">
        <v>116</v>
      </c>
      <c r="B35" s="279">
        <f>SUM(B30:B34)</f>
        <v>-138301</v>
      </c>
      <c r="C35" s="280">
        <f>SUM(C30:C34)</f>
        <v>12811</v>
      </c>
      <c r="D35" s="279">
        <f>SUM(D30:D34)</f>
        <v>-23850</v>
      </c>
      <c r="E35" s="279">
        <f>SUM(E30:E34)</f>
        <v>-283758</v>
      </c>
      <c r="F35" s="279">
        <f>SUM(F30:F34)</f>
        <v>-236509</v>
      </c>
      <c r="G35" s="279">
        <v>-513100</v>
      </c>
    </row>
    <row r="36" spans="1:8" ht="17.25" thickTop="1" thickBot="1" x14ac:dyDescent="0.3">
      <c r="A36" s="402" t="s">
        <v>117</v>
      </c>
      <c r="B36" s="44"/>
      <c r="C36" s="47"/>
      <c r="D36" s="46"/>
      <c r="E36" s="282"/>
      <c r="F36" s="394"/>
      <c r="G36" s="394"/>
      <c r="H36" s="331"/>
    </row>
    <row r="37" spans="1:8" ht="15.75" thickTop="1" x14ac:dyDescent="0.25">
      <c r="A37" s="345" t="s">
        <v>118</v>
      </c>
      <c r="B37" s="194">
        <v>0</v>
      </c>
      <c r="C37" s="71">
        <v>0</v>
      </c>
      <c r="D37" s="70">
        <v>148827</v>
      </c>
      <c r="E37" s="71">
        <v>0</v>
      </c>
      <c r="F37" s="71">
        <v>0</v>
      </c>
      <c r="G37" s="271"/>
    </row>
    <row r="38" spans="1:8" x14ac:dyDescent="0.25">
      <c r="A38" s="346" t="s">
        <v>119</v>
      </c>
      <c r="B38" s="429">
        <v>0</v>
      </c>
      <c r="C38" s="281">
        <v>0</v>
      </c>
      <c r="D38" s="424">
        <v>-3284</v>
      </c>
      <c r="E38" s="281">
        <v>0</v>
      </c>
      <c r="F38" s="281">
        <v>0</v>
      </c>
      <c r="G38" s="272"/>
    </row>
    <row r="39" spans="1:8" x14ac:dyDescent="0.25">
      <c r="A39" s="346" t="s">
        <v>120</v>
      </c>
      <c r="B39" s="199">
        <v>23055</v>
      </c>
      <c r="C39" s="281">
        <v>0</v>
      </c>
      <c r="D39" s="197">
        <v>2400</v>
      </c>
      <c r="E39" s="281">
        <v>0</v>
      </c>
      <c r="F39" s="281">
        <v>0</v>
      </c>
      <c r="G39" s="272"/>
    </row>
    <row r="40" spans="1:8" x14ac:dyDescent="0.25">
      <c r="A40" s="346" t="s">
        <v>121</v>
      </c>
      <c r="B40" s="429">
        <v>0</v>
      </c>
      <c r="C40" s="281">
        <v>0</v>
      </c>
      <c r="D40" s="197">
        <v>0</v>
      </c>
      <c r="E40" s="281">
        <v>0</v>
      </c>
      <c r="F40" s="197">
        <v>194131</v>
      </c>
      <c r="G40" s="272"/>
    </row>
    <row r="41" spans="1:8" x14ac:dyDescent="0.25">
      <c r="A41" s="346" t="s">
        <v>122</v>
      </c>
      <c r="B41" s="199">
        <v>1161413</v>
      </c>
      <c r="C41" s="197">
        <v>30000</v>
      </c>
      <c r="D41" s="197">
        <v>0</v>
      </c>
      <c r="E41" s="197">
        <v>226293</v>
      </c>
      <c r="F41" s="197">
        <v>288639</v>
      </c>
      <c r="G41" s="272"/>
    </row>
    <row r="42" spans="1:8" x14ac:dyDescent="0.25">
      <c r="A42" s="346" t="s">
        <v>123</v>
      </c>
      <c r="B42" s="422">
        <v>-734391</v>
      </c>
      <c r="C42" s="424">
        <v>-124355</v>
      </c>
      <c r="D42" s="424">
        <v>-93856</v>
      </c>
      <c r="E42" s="424">
        <v>-124610</v>
      </c>
      <c r="F42" s="424">
        <v>-170170</v>
      </c>
      <c r="G42" s="272"/>
    </row>
    <row r="43" spans="1:8" x14ac:dyDescent="0.25">
      <c r="A43" s="346" t="s">
        <v>124</v>
      </c>
      <c r="B43" s="422">
        <v>-4387</v>
      </c>
      <c r="C43" s="424">
        <v>-150</v>
      </c>
      <c r="D43" s="424">
        <v>-3256</v>
      </c>
      <c r="E43" s="424">
        <v>-9233</v>
      </c>
      <c r="F43" s="424">
        <v>-547</v>
      </c>
      <c r="G43" s="272"/>
    </row>
    <row r="44" spans="1:8" x14ac:dyDescent="0.25">
      <c r="A44" s="346" t="s">
        <v>125</v>
      </c>
      <c r="B44" s="422">
        <v>-10778</v>
      </c>
      <c r="C44" s="197">
        <v>0</v>
      </c>
      <c r="D44" s="25">
        <v>0</v>
      </c>
      <c r="E44" s="197">
        <v>0</v>
      </c>
      <c r="F44" s="197">
        <v>0</v>
      </c>
      <c r="G44" s="272"/>
    </row>
    <row r="45" spans="1:8" x14ac:dyDescent="0.25">
      <c r="A45" s="346" t="s">
        <v>126</v>
      </c>
      <c r="B45" s="199">
        <v>0</v>
      </c>
      <c r="C45" s="424">
        <v>-30230</v>
      </c>
      <c r="D45" s="424">
        <v>-10000</v>
      </c>
      <c r="E45" s="424">
        <v>-61506</v>
      </c>
      <c r="F45" s="424">
        <v>-73089</v>
      </c>
      <c r="G45" s="272"/>
    </row>
    <row r="46" spans="1:8" x14ac:dyDescent="0.25">
      <c r="A46" s="430" t="s">
        <v>127</v>
      </c>
      <c r="B46" s="422">
        <v>-140890</v>
      </c>
      <c r="C46" s="197">
        <v>0</v>
      </c>
      <c r="D46" s="76">
        <v>0</v>
      </c>
      <c r="E46" s="197">
        <v>0</v>
      </c>
      <c r="F46" s="197">
        <v>0</v>
      </c>
      <c r="G46" s="272"/>
    </row>
    <row r="47" spans="1:8" x14ac:dyDescent="0.25">
      <c r="A47" s="346" t="s">
        <v>128</v>
      </c>
      <c r="B47" s="95">
        <v>-269000</v>
      </c>
      <c r="C47" s="95">
        <v>-131000</v>
      </c>
      <c r="D47" s="25">
        <v>0</v>
      </c>
      <c r="E47" s="25">
        <v>0</v>
      </c>
      <c r="F47" s="25">
        <v>0</v>
      </c>
      <c r="G47" s="272"/>
    </row>
    <row r="48" spans="1:8" ht="15.75" thickBot="1" x14ac:dyDescent="0.3">
      <c r="A48" s="400" t="s">
        <v>129</v>
      </c>
      <c r="B48" s="426">
        <v>-47551</v>
      </c>
      <c r="C48" s="33">
        <v>3051</v>
      </c>
      <c r="D48" s="208">
        <v>2565</v>
      </c>
      <c r="E48" s="426">
        <v>-4143</v>
      </c>
      <c r="F48" s="426">
        <v>-1244</v>
      </c>
      <c r="G48" s="273"/>
    </row>
    <row r="49" spans="1:7" ht="17.25" thickTop="1" thickBot="1" x14ac:dyDescent="0.3">
      <c r="A49" s="403" t="s">
        <v>130</v>
      </c>
      <c r="B49" s="279">
        <f>SUM(B37:B48)</f>
        <v>-22529</v>
      </c>
      <c r="C49" s="279">
        <f>SUM(C37:C48)</f>
        <v>-252684</v>
      </c>
      <c r="D49" s="279">
        <f>SUM(D37:D48)</f>
        <v>43396</v>
      </c>
      <c r="E49" s="279">
        <f>SUM(E37:E48)</f>
        <v>26801</v>
      </c>
      <c r="F49" s="279">
        <f>SUM(F37:F48)</f>
        <v>237720</v>
      </c>
      <c r="G49" s="279">
        <v>237300</v>
      </c>
    </row>
    <row r="50" spans="1:7" ht="16.5" thickTop="1" thickBot="1" x14ac:dyDescent="0.3">
      <c r="A50" s="352" t="s">
        <v>131</v>
      </c>
      <c r="B50" s="90">
        <f>B28+B35+B49</f>
        <v>86688</v>
      </c>
      <c r="C50" s="431">
        <f>C28+C35+C49</f>
        <v>-77980</v>
      </c>
      <c r="D50" s="90">
        <f>D28+D35+D49</f>
        <v>147492</v>
      </c>
      <c r="E50" s="431">
        <f>E28+E35+E49</f>
        <v>-61778</v>
      </c>
      <c r="F50" s="90">
        <f>F28+F35+F49</f>
        <v>169325</v>
      </c>
      <c r="G50" s="13"/>
    </row>
    <row r="51" spans="1:7" ht="16.5" thickTop="1" thickBot="1" x14ac:dyDescent="0.3">
      <c r="A51" s="404" t="s">
        <v>132</v>
      </c>
      <c r="B51" s="90">
        <v>3574</v>
      </c>
      <c r="C51" s="90">
        <f>B52</f>
        <v>90262</v>
      </c>
      <c r="D51" s="90">
        <f>C52</f>
        <v>12282</v>
      </c>
      <c r="E51" s="90">
        <f>D52</f>
        <v>159774</v>
      </c>
      <c r="F51" s="90">
        <f>E52</f>
        <v>97996</v>
      </c>
      <c r="G51" s="13"/>
    </row>
    <row r="52" spans="1:7" ht="16.5" thickTop="1" thickBot="1" x14ac:dyDescent="0.3">
      <c r="A52" s="404" t="s">
        <v>133</v>
      </c>
      <c r="B52" s="287">
        <v>90262</v>
      </c>
      <c r="C52" s="287">
        <v>12282</v>
      </c>
      <c r="D52" s="287">
        <v>159774</v>
      </c>
      <c r="E52" s="287">
        <v>97996</v>
      </c>
      <c r="F52" s="287">
        <v>267321</v>
      </c>
      <c r="G52" s="286"/>
    </row>
    <row r="53" spans="1:7" ht="15.75" thickTop="1" x14ac:dyDescent="0.25"/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workbookViewId="0">
      <selection activeCell="I30" sqref="I30"/>
    </sheetView>
  </sheetViews>
  <sheetFormatPr defaultRowHeight="15" x14ac:dyDescent="0.25"/>
  <cols>
    <col min="1" max="1" width="66.7109375" customWidth="1"/>
    <col min="2" max="7" width="16.28515625" customWidth="1"/>
  </cols>
  <sheetData>
    <row r="1" spans="1:13" ht="22.5" thickTop="1" thickBot="1" x14ac:dyDescent="0.4">
      <c r="A1" s="412"/>
      <c r="B1" s="593">
        <v>2008</v>
      </c>
      <c r="C1" s="593">
        <v>2009</v>
      </c>
      <c r="D1" s="593">
        <v>2010</v>
      </c>
      <c r="E1" s="593">
        <v>2011</v>
      </c>
      <c r="F1" s="593">
        <v>2012</v>
      </c>
      <c r="G1" s="593" t="s">
        <v>3</v>
      </c>
    </row>
    <row r="2" spans="1:13" ht="22.5" thickTop="1" thickBot="1" x14ac:dyDescent="0.4">
      <c r="A2" s="648" t="s">
        <v>134</v>
      </c>
      <c r="B2" s="410"/>
      <c r="C2" s="411"/>
      <c r="D2" s="411"/>
      <c r="E2" s="411"/>
      <c r="F2" s="411"/>
      <c r="G2" s="411"/>
    </row>
    <row r="3" spans="1:13" ht="16.5" customHeight="1" thickTop="1" thickBot="1" x14ac:dyDescent="0.3">
      <c r="A3" s="590" t="s">
        <v>135</v>
      </c>
      <c r="B3" s="595">
        <f>'BALANCE SHEET'!B18-'BALANCE SHEET'!B47</f>
        <v>-166039</v>
      </c>
      <c r="C3" s="595">
        <f>'BALANCE SHEET'!D18-'BALANCE SHEET'!D47</f>
        <v>-134966</v>
      </c>
      <c r="D3" s="596">
        <f>'BALANCE SHEET'!F18-'BALANCE SHEET'!F47</f>
        <v>26424</v>
      </c>
      <c r="E3" s="595">
        <f>'BALANCE SHEET'!H18-'BALANCE SHEET'!H47</f>
        <v>-87738</v>
      </c>
      <c r="F3" s="596">
        <f>'BALANCE SHEET'!J18-'BALANCE SHEET'!J47</f>
        <v>50513</v>
      </c>
      <c r="G3" s="595">
        <f>'BALANCE SHEET'!L18-'BALANCE SHEET'!L47</f>
        <v>-121804</v>
      </c>
    </row>
    <row r="4" spans="1:13" ht="16.5" thickTop="1" thickBot="1" x14ac:dyDescent="0.3">
      <c r="A4" s="603" t="s">
        <v>136</v>
      </c>
      <c r="B4" s="596">
        <f>'BALANCE SHEET'!B7+'BALANCE SHEET'!B10+'BALANCE SHEET'!B9-'BALANCE SHEET'!B15-'BALANCE SHEET'!B14</f>
        <v>101631</v>
      </c>
      <c r="C4" s="596">
        <f>'BALANCE SHEET'!D7+'BALANCE SHEET'!D10+'BALANCE SHEET'!D9-'BALANCE SHEET'!D15-'BALANCE SHEET'!D14</f>
        <v>22013</v>
      </c>
      <c r="D4" s="596">
        <f>'BALANCE SHEET'!F7+'BALANCE SHEET'!F10+'BALANCE SHEET'!F9-'BALANCE SHEET'!F15-'BALANCE SHEET'!F14</f>
        <v>147827</v>
      </c>
      <c r="E4" s="596">
        <f>'BALANCE SHEET'!H7+'BALANCE SHEET'!H10+'BALANCE SHEET'!H9-'BALANCE SHEET'!H15-'BALANCE SHEET'!H14</f>
        <v>94143</v>
      </c>
      <c r="F4" s="596">
        <f>'BALANCE SHEET'!J7+'BALANCE SHEET'!J10+'BALANCE SHEET'!J9-'BALANCE SHEET'!J15-'BALANCE SHEET'!J14</f>
        <v>271994</v>
      </c>
      <c r="G4" s="596">
        <f>'BALANCE SHEET'!L7+'BALANCE SHEET'!L10+'BALANCE SHEET'!L9-'BALANCE SHEET'!L15-'BALANCE SHEET'!L14</f>
        <v>137346</v>
      </c>
    </row>
    <row r="5" spans="1:13" ht="16.5" thickTop="1" thickBot="1" x14ac:dyDescent="0.3">
      <c r="A5" s="603" t="s">
        <v>137</v>
      </c>
      <c r="B5" s="596">
        <f>B4+'BALANCE SHEET'!B23</f>
        <v>1673747</v>
      </c>
      <c r="C5" s="596">
        <f>C4+'BALANCE SHEET'!D23</f>
        <v>1582112</v>
      </c>
      <c r="D5" s="596">
        <f>D4+'BALANCE SHEET'!F23</f>
        <v>1683267</v>
      </c>
      <c r="E5" s="596">
        <f>E4+'BALANCE SHEET'!H23</f>
        <v>1861403</v>
      </c>
      <c r="F5" s="596">
        <f>F4+'BALANCE SHEET'!J23</f>
        <v>2193891</v>
      </c>
      <c r="G5" s="596">
        <f>G4+'BALANCE SHEET'!L23</f>
        <v>2482306</v>
      </c>
    </row>
    <row r="6" spans="1:13" ht="16.5" thickTop="1" thickBot="1" x14ac:dyDescent="0.3">
      <c r="A6" s="590" t="s">
        <v>138</v>
      </c>
      <c r="B6" s="597">
        <f>'BALANCE SHEET'!B18/'BALANCE SHEET'!B47</f>
        <v>0.42254133424221135</v>
      </c>
      <c r="C6" s="597">
        <f>'BALANCE SHEET'!D18/'BALANCE SHEET'!D47</f>
        <v>0.26357143246885761</v>
      </c>
      <c r="D6" s="597">
        <f>'BALANCE SHEET'!F18/'BALANCE SHEET'!F47</f>
        <v>1.142996298460939</v>
      </c>
      <c r="E6" s="597">
        <f>'BALANCE SHEET'!H18/'BALANCE SHEET'!H47</f>
        <v>0.61278791115190945</v>
      </c>
      <c r="F6" s="597">
        <f>'BALANCE SHEET'!J18/'BALANCE SHEET'!J47</f>
        <v>1.2025291586978923</v>
      </c>
      <c r="G6" s="597">
        <f>'BALANCE SHEET'!L18/'BALANCE SHEET'!L47</f>
        <v>0.57375867414605808</v>
      </c>
      <c r="I6" s="466"/>
    </row>
    <row r="7" spans="1:13" ht="16.5" thickTop="1" thickBot="1" x14ac:dyDescent="0.3">
      <c r="A7" s="590" t="s">
        <v>139</v>
      </c>
      <c r="B7" s="597">
        <f>('BALANCE SHEET'!B18-'BALANCE SHEET'!B10)/'BALANCE SHEET'!B47</f>
        <v>0.37876564162846826</v>
      </c>
      <c r="C7" s="597">
        <f>('BALANCE SHEET'!D18-'BALANCE SHEET'!D10)/'BALANCE SHEET'!D47</f>
        <v>0.20093740962836457</v>
      </c>
      <c r="D7" s="597">
        <f>('BALANCE SHEET'!F18-'BALANCE SHEET'!F10)/'BALANCE SHEET'!F47</f>
        <v>1.0914020390934476</v>
      </c>
      <c r="E7" s="597">
        <f>('BALANCE SHEET'!H18-'BALANCE SHEET'!H10)/'BALANCE SHEET'!H47</f>
        <v>0.57158997126956734</v>
      </c>
      <c r="F7" s="597">
        <f>('BALANCE SHEET'!J18-'BALANCE SHEET'!J10)/'BALANCE SHEET'!J47</f>
        <v>1.1648483827898528</v>
      </c>
      <c r="G7" s="597">
        <f>('BALANCE SHEET'!L18-'BALANCE SHEET'!L10)/'BALANCE SHEET'!L47</f>
        <v>0.52715362030773749</v>
      </c>
    </row>
    <row r="8" spans="1:13" ht="16.5" thickTop="1" thickBot="1" x14ac:dyDescent="0.3">
      <c r="A8" s="590" t="s">
        <v>140</v>
      </c>
      <c r="B8" s="597">
        <f>'BALANCE SHEET'!B7/'BALANCE SHEET'!B47</f>
        <v>0.31391765843343744</v>
      </c>
      <c r="C8" s="597">
        <f>'BALANCE SHEET'!D7/'BALANCE SHEET'!D47</f>
        <v>6.7015512546993256E-2</v>
      </c>
      <c r="D8" s="597">
        <f>'BALANCE SHEET'!F7/'BALANCE SHEET'!F47</f>
        <v>0.86463406714721736</v>
      </c>
      <c r="E8" s="597">
        <f>'BALANCE SHEET'!H7/'BALANCE SHEET'!H47</f>
        <v>0.43248348331119341</v>
      </c>
      <c r="F8" s="597">
        <f>'BALANCE SHEET'!J7/'BALANCE SHEET'!J47</f>
        <v>1.0718091824338141</v>
      </c>
      <c r="G8" s="597">
        <f>'BALANCE SHEET'!L7/'BALANCE SHEET'!L47</f>
        <v>0.42122668085091491</v>
      </c>
    </row>
    <row r="9" spans="1:13" ht="22.5" thickTop="1" thickBot="1" x14ac:dyDescent="0.4">
      <c r="A9" s="594" t="s">
        <v>141</v>
      </c>
      <c r="B9" s="408"/>
      <c r="C9" s="407"/>
      <c r="D9" s="407"/>
      <c r="E9" s="407"/>
      <c r="F9" s="407"/>
      <c r="G9" s="407"/>
    </row>
    <row r="10" spans="1:13" ht="16.5" thickTop="1" thickBot="1" x14ac:dyDescent="0.3">
      <c r="A10" s="590" t="s">
        <v>142</v>
      </c>
      <c r="B10" s="597">
        <f>'INCOME STATEMENT'!B5/'BALANCE SHEET'!B9</f>
        <v>389.00364963503648</v>
      </c>
      <c r="C10" s="597">
        <f>'INCOME STATEMENT'!E5/'BALANCE SHEET'!D9</f>
        <v>127.57224880382775</v>
      </c>
      <c r="D10" s="635">
        <f>'INCOME STATEMENT'!H5/'BALANCE SHEET'!F9</f>
        <v>105.10446428571429</v>
      </c>
      <c r="E10" s="635">
        <f>'INCOME STATEMENT'!K5/'BALANCE SHEET'!H9</f>
        <v>177.74651162790698</v>
      </c>
      <c r="F10" s="635">
        <f>'INCOME STATEMENT'!N5/'BALANCE SHEET'!J9</f>
        <v>172.62181493071077</v>
      </c>
      <c r="G10" s="634">
        <f>'INCOME STATEMENT'!Q5/'BALANCE SHEET'!L9</f>
        <v>25.481418918918919</v>
      </c>
    </row>
    <row r="11" spans="1:13" ht="16.5" thickTop="1" thickBot="1" x14ac:dyDescent="0.3">
      <c r="A11" s="590" t="s">
        <v>143</v>
      </c>
      <c r="B11" s="597">
        <f t="shared" ref="B11:G11" si="0">365/B10</f>
        <v>0.93829453873361668</v>
      </c>
      <c r="C11" s="598">
        <f t="shared" si="0"/>
        <v>2.861123821382761</v>
      </c>
      <c r="D11" s="597">
        <f t="shared" si="0"/>
        <v>3.4727354587697614</v>
      </c>
      <c r="E11" s="597">
        <f t="shared" si="0"/>
        <v>2.0534861509073541</v>
      </c>
      <c r="F11" s="597">
        <f t="shared" si="0"/>
        <v>2.1144488612085821</v>
      </c>
      <c r="G11" s="599">
        <f t="shared" si="0"/>
        <v>14.324163075903215</v>
      </c>
    </row>
    <row r="12" spans="1:13" ht="16.5" thickTop="1" thickBot="1" x14ac:dyDescent="0.3">
      <c r="A12" s="590" t="s">
        <v>144</v>
      </c>
      <c r="B12" s="597">
        <f>'INCOME STATEMENT'!B5/'BALANCE SHEET'!B10</f>
        <v>33.872090251847141</v>
      </c>
      <c r="C12" s="598">
        <f>'INCOME STATEMENT'!E5/'BALANCE SHEET'!D10</f>
        <v>34.840926910009586</v>
      </c>
      <c r="D12" s="600">
        <f>'INCOME STATEMENT'!H5/'BALANCE SHEET'!F10</f>
        <v>37.041220893643803</v>
      </c>
      <c r="E12" s="600">
        <f>'INCOME STATEMENT'!K5/'BALANCE SHEET'!H10</f>
        <v>40.937868237814676</v>
      </c>
      <c r="F12" s="600">
        <f>'INCOME STATEMENT'!N5/'BALANCE SHEET'!J10</f>
        <v>41.089061502447329</v>
      </c>
      <c r="G12" s="601">
        <f>'INCOME STATEMENT'!Q5/'BALANCE SHEET'!L10</f>
        <v>22.653551584321971</v>
      </c>
    </row>
    <row r="13" spans="1:13" ht="16.5" thickTop="1" thickBot="1" x14ac:dyDescent="0.3">
      <c r="A13" s="590" t="s">
        <v>145</v>
      </c>
      <c r="B13" s="597">
        <f t="shared" ref="B13:G13" si="1">365/B12</f>
        <v>10.775833356788352</v>
      </c>
      <c r="C13" s="598">
        <f t="shared" si="1"/>
        <v>10.476185118230529</v>
      </c>
      <c r="D13" s="597">
        <f t="shared" si="1"/>
        <v>9.8538868642591968</v>
      </c>
      <c r="E13" s="597">
        <f t="shared" si="1"/>
        <v>8.9159503342884427</v>
      </c>
      <c r="F13" s="597">
        <f t="shared" si="1"/>
        <v>8.8831427794538467</v>
      </c>
      <c r="G13" s="599">
        <f t="shared" si="1"/>
        <v>16.112263838249916</v>
      </c>
    </row>
    <row r="14" spans="1:13" ht="16.5" thickTop="1" thickBot="1" x14ac:dyDescent="0.3">
      <c r="A14" s="603" t="s">
        <v>146</v>
      </c>
      <c r="B14" s="619">
        <f>'INCOME STATEMENT'!B5/'FINANCIAL RATIOS'!B3</f>
        <v>-2.5677581772956954</v>
      </c>
      <c r="C14" s="619">
        <f>'INCOME STATEMENT'!E5/'FINANCIAL RATIOS'!C3</f>
        <v>-2.9632574129780833</v>
      </c>
      <c r="D14" s="600">
        <f>'INCOME STATEMENT'!H5/'FINANCIAL RATIOS'!D3</f>
        <v>13.364782016348775</v>
      </c>
      <c r="E14" s="620">
        <f>'INCOME STATEMENT'!K5/'FINANCIAL RATIOS'!E3</f>
        <v>-4.355638377897832</v>
      </c>
      <c r="F14" s="600">
        <f>'INCOME STATEMENT'!N5/'FINANCIAL RATIOS'!F3</f>
        <v>7.6446657296141591</v>
      </c>
      <c r="G14" s="621">
        <f>'INCOME STATEMENT'!Q5/'FINANCIAL RATIOS'!G3</f>
        <v>-2.4769301500771732</v>
      </c>
      <c r="H14" s="630" t="s">
        <v>147</v>
      </c>
    </row>
    <row r="15" spans="1:13" ht="16.5" thickTop="1" thickBot="1" x14ac:dyDescent="0.3">
      <c r="A15" s="590" t="s">
        <v>148</v>
      </c>
      <c r="B15" s="597">
        <f>'INCOME STATEMENT'!B5/'BALANCE SHEET'!B34</f>
        <v>0.23483778573395758</v>
      </c>
      <c r="C15" s="597">
        <f>'INCOME STATEMENT'!E5/'BALANCE SHEET'!D34</f>
        <v>0.23384143132783722</v>
      </c>
      <c r="D15" s="597">
        <f>'INCOME STATEMENT'!H5/'BALANCE SHEET'!F34</f>
        <v>0.19310721562220101</v>
      </c>
      <c r="E15" s="597">
        <f>'INCOME STATEMENT'!K5/'BALANCE SHEET'!H34</f>
        <v>0.192759811252708</v>
      </c>
      <c r="F15" s="597">
        <f>'INCOME STATEMENT'!N5/'BALANCE SHEET'!J34</f>
        <v>0.16707018544269239</v>
      </c>
      <c r="G15" s="599">
        <f>'INCOME STATEMENT'!Q5/'BALANCE SHEET'!L34</f>
        <v>0.1147729135923922</v>
      </c>
      <c r="M15" s="575"/>
    </row>
    <row r="16" spans="1:13" ht="16.5" thickTop="1" thickBot="1" x14ac:dyDescent="0.3">
      <c r="A16" s="590" t="s">
        <v>149</v>
      </c>
      <c r="B16" s="597">
        <f>'INCOME STATEMENT'!B5/'BALANCE SHEET'!B23</f>
        <v>0.27119372870704195</v>
      </c>
      <c r="C16" s="598">
        <f>'INCOME STATEMENT'!E5/'BALANCE SHEET'!D23</f>
        <v>0.25635488517074878</v>
      </c>
      <c r="D16" s="597">
        <f>'INCOME STATEMENT'!H5/'BALANCE SHEET'!F23</f>
        <v>0.22999986974417758</v>
      </c>
      <c r="E16" s="597">
        <f>'INCOME STATEMENT'!K5/'BALANCE SHEET'!H23</f>
        <v>0.2162415264307459</v>
      </c>
      <c r="F16" s="597">
        <f>'INCOME STATEMENT'!N5/'BALANCE SHEET'!J23</f>
        <v>0.20092387885511034</v>
      </c>
      <c r="G16" s="599">
        <f>'INCOME STATEMENT'!Q5/'BALANCE SHEET'!L23</f>
        <v>0.12865891102620086</v>
      </c>
    </row>
    <row r="17" spans="1:8" ht="16.5" thickTop="1" thickBot="1" x14ac:dyDescent="0.3">
      <c r="A17" s="603" t="s">
        <v>150</v>
      </c>
      <c r="B17" s="641">
        <f>'INCOME STATEMENT'!B5/'BALANCE SHEET'!B61</f>
        <v>-39.660279069767441</v>
      </c>
      <c r="C17" s="598">
        <f>'INCOME STATEMENT'!E5/'BALANCE SHEET'!D61</f>
        <v>2.5765613121851283</v>
      </c>
      <c r="D17" s="598">
        <f>'INCOME STATEMENT'!H5/'BALANCE SHEET'!F61</f>
        <v>0.97517272230230134</v>
      </c>
      <c r="E17" s="598">
        <f>'INCOME STATEMENT'!K5/'BALANCE SHEET'!H61</f>
        <v>1.158094585830914</v>
      </c>
      <c r="F17" s="598">
        <f>'INCOME STATEMENT'!N5/'BALANCE SHEET'!J61</f>
        <v>0.74196083404425384</v>
      </c>
      <c r="G17" s="602">
        <f>'INCOME STATEMENT'!Q5/'BALANCE SHEET'!L61</f>
        <v>0.47146297288892569</v>
      </c>
    </row>
    <row r="18" spans="1:8" ht="22.5" thickTop="1" thickBot="1" x14ac:dyDescent="0.4">
      <c r="A18" s="594" t="s">
        <v>151</v>
      </c>
      <c r="B18" s="405"/>
      <c r="C18" s="406"/>
      <c r="D18" s="406"/>
      <c r="E18" s="406"/>
      <c r="F18" s="406"/>
      <c r="G18" s="406"/>
    </row>
    <row r="19" spans="1:8" ht="16.5" thickTop="1" thickBot="1" x14ac:dyDescent="0.3">
      <c r="A19" s="590" t="s">
        <v>152</v>
      </c>
      <c r="B19" s="604">
        <f>'INCOME STATEMENT'!B32/'INCOME STATEMENT'!B5</f>
        <v>0.234031823768377</v>
      </c>
      <c r="C19" s="604">
        <f>'INCOME STATEMENT'!E32/'INCOME STATEMENT'!E5</f>
        <v>0.29236708598061206</v>
      </c>
      <c r="D19" s="604">
        <f>'INCOME STATEMENT'!H32/'INCOME STATEMENT'!H5</f>
        <v>0.22826496314607633</v>
      </c>
      <c r="E19" s="604">
        <f>'INCOME STATEMENT'!K32/'INCOME STATEMENT'!K5</f>
        <v>0.22920542711726918</v>
      </c>
      <c r="F19" s="604">
        <f>'INCOME STATEMENT'!N32/'INCOME STATEMENT'!N5</f>
        <v>0.21009439214823064</v>
      </c>
      <c r="G19" s="604">
        <f>'INCOME STATEMENT'!Q32/'INCOME STATEMENT'!Q5</f>
        <v>0.25268478621146834</v>
      </c>
    </row>
    <row r="20" spans="1:8" ht="16.5" thickTop="1" thickBot="1" x14ac:dyDescent="0.3">
      <c r="A20" s="590" t="s">
        <v>153</v>
      </c>
      <c r="B20" s="604">
        <f>'INCOME STATEMENT'!B22/'BALANCE SHEET'!B34</f>
        <v>9.8872486918204355E-2</v>
      </c>
      <c r="C20" s="604">
        <f>'INCOME STATEMENT'!E22/'BALANCE SHEET'!D34</f>
        <v>0.11201952873764837</v>
      </c>
      <c r="D20" s="604">
        <f>'INCOME STATEMENT'!H22/'BALANCE SHEET'!F34</f>
        <v>8.5235418983782646E-2</v>
      </c>
      <c r="E20" s="604">
        <f>'INCOME STATEMENT'!K22/'BALANCE SHEET'!H34</f>
        <v>8.6082283125982012E-2</v>
      </c>
      <c r="F20" s="604">
        <f>'INCOME STATEMENT'!N22/'BALANCE SHEET'!J34</f>
        <v>6.7005893566226257E-2</v>
      </c>
      <c r="G20" s="604">
        <f>'INCOME STATEMENT'!Q22/'BALANCE SHEET'!L34</f>
        <v>4.7457477529502572E-2</v>
      </c>
    </row>
    <row r="21" spans="1:8" ht="16.5" thickTop="1" thickBot="1" x14ac:dyDescent="0.3">
      <c r="A21" s="590" t="s">
        <v>154</v>
      </c>
      <c r="B21" s="604">
        <f>'INCOME STATEMENT'!B32/'BALANCE SHEET'!B34</f>
        <v>5.4959515285045439E-2</v>
      </c>
      <c r="C21" s="604">
        <f>'INCOME STATEMENT'!E32/'BALANCE SHEET'!D34</f>
        <v>6.8367537858855174E-2</v>
      </c>
      <c r="D21" s="604">
        <f>'INCOME STATEMENT'!H32/'BALANCE SHEET'!F34</f>
        <v>4.407961145724313E-2</v>
      </c>
      <c r="E21" s="604">
        <f>'INCOME STATEMENT'!K32/'BALANCE SHEET'!H34</f>
        <v>4.418159486922113E-2</v>
      </c>
      <c r="F21" s="604">
        <f>'INCOME STATEMENT'!N32/'BALANCE SHEET'!J34</f>
        <v>3.5100509056674632E-2</v>
      </c>
      <c r="G21" s="604">
        <f>'INCOME STATEMENT'!Q32/'BALANCE SHEET'!L34</f>
        <v>2.9001369133960953E-2</v>
      </c>
    </row>
    <row r="22" spans="1:8" ht="16.5" thickTop="1" thickBot="1" x14ac:dyDescent="0.3">
      <c r="A22" s="603" t="s">
        <v>155</v>
      </c>
      <c r="B22" s="604">
        <f t="shared" ref="B22:G22" si="2">B15*B19</f>
        <v>5.4959515285045439E-2</v>
      </c>
      <c r="C22" s="605">
        <f t="shared" si="2"/>
        <v>6.8367537858855174E-2</v>
      </c>
      <c r="D22" s="604">
        <f t="shared" si="2"/>
        <v>4.407961145724313E-2</v>
      </c>
      <c r="E22" s="604">
        <f t="shared" si="2"/>
        <v>4.418159486922113E-2</v>
      </c>
      <c r="F22" s="604">
        <f t="shared" si="2"/>
        <v>3.5100509056674632E-2</v>
      </c>
      <c r="G22" s="604">
        <f t="shared" si="2"/>
        <v>2.9001369133960949E-2</v>
      </c>
    </row>
    <row r="23" spans="1:8" ht="16.5" thickTop="1" thickBot="1" x14ac:dyDescent="0.3">
      <c r="A23" s="590" t="s">
        <v>156</v>
      </c>
      <c r="B23" s="606">
        <f>'INCOME STATEMENT'!B32/'BALANCE SHEET'!B61</f>
        <v>-9.281767441860465</v>
      </c>
      <c r="C23" s="607">
        <f>'INCOME STATEMENT'!E32/'BALANCE SHEET'!D61</f>
        <v>0.75330172269394802</v>
      </c>
      <c r="D23" s="608">
        <f>'INCOME STATEMENT'!H32/'BALANCE SHEET'!F61</f>
        <v>0.22259776551739374</v>
      </c>
      <c r="E23" s="608">
        <f>'INCOME STATEMENT'!K32/'BALANCE SHEET'!H61</f>
        <v>0.26544156418757159</v>
      </c>
      <c r="F23" s="608">
        <f>'INCOME STATEMENT'!N32/'BALANCE SHEET'!J61</f>
        <v>0.15588181042632174</v>
      </c>
      <c r="G23" s="608">
        <f>'INCOME STATEMENT'!Q32/'BALANCE SHEET'!L61</f>
        <v>0.11913152051106149</v>
      </c>
      <c r="H23" s="630" t="s">
        <v>157</v>
      </c>
    </row>
    <row r="24" spans="1:8" ht="16.5" thickTop="1" thickBot="1" x14ac:dyDescent="0.3">
      <c r="A24" s="591" t="s">
        <v>158</v>
      </c>
      <c r="B24" s="609">
        <f>'INCOME STATEMENT'!B22*(1-0)/(SPACE!D10+SPACE!D6)</f>
        <v>0.12601450511526097</v>
      </c>
      <c r="C24" s="607">
        <f>'INCOME STATEMENT'!E22*(1-0)/(SPACE!E10+SPACE!E6)</f>
        <v>0.12798413316597182</v>
      </c>
      <c r="D24" s="607">
        <f>'INCOME STATEMENT'!H22*(1-0)/(SPACE!F10+SPACE!F6)</f>
        <v>9.8080139333359337E-2</v>
      </c>
      <c r="E24" s="607">
        <f>'INCOME STATEMENT'!K22*(1-0)/(SPACE!G10+SPACE!G6)</f>
        <v>0.10533195904285195</v>
      </c>
      <c r="F24" s="607">
        <f>'INCOME STATEMENT'!N22*(1-0)/(SPACE!H10+SPACE!H6)</f>
        <v>8.0655795418327111E-2</v>
      </c>
      <c r="G24" s="610">
        <f>'INCOME STATEMENT'!Q22*(1-0)/(SPACE!I10+SPACE!I6)</f>
        <v>5.5255984699296712E-2</v>
      </c>
      <c r="H24" s="642" t="s">
        <v>159</v>
      </c>
    </row>
    <row r="25" spans="1:8" ht="22.5" thickTop="1" thickBot="1" x14ac:dyDescent="0.4">
      <c r="A25" s="594" t="s">
        <v>160</v>
      </c>
      <c r="B25" s="623"/>
      <c r="C25" s="624"/>
      <c r="D25" s="624"/>
      <c r="E25" s="624"/>
      <c r="F25" s="624"/>
      <c r="G25" s="624"/>
    </row>
    <row r="26" spans="1:8" ht="16.5" customHeight="1" thickTop="1" thickBot="1" x14ac:dyDescent="0.3">
      <c r="A26" s="625" t="s">
        <v>161</v>
      </c>
      <c r="B26" s="626">
        <f>'BALANCE SHEET'!B61/('BALANCE SHEET'!B47+'BALANCE SHEET'!B53)</f>
        <v>-5.8863791923340174E-3</v>
      </c>
      <c r="C26" s="627">
        <f>'BALANCE SHEET'!D61/('BALANCE SHEET'!D47+'BALANCE SHEET'!D53)</f>
        <v>9.9816215006578446E-2</v>
      </c>
      <c r="D26" s="627">
        <f>'BALANCE SHEET'!F61/('BALANCE SHEET'!F47+'BALANCE SHEET'!F53)</f>
        <v>0.24691948944526265</v>
      </c>
      <c r="E26" s="627">
        <f>'BALANCE SHEET'!H61/('BALANCE SHEET'!H47+'BALANCE SHEET'!H53)</f>
        <v>0.19968182679105556</v>
      </c>
      <c r="F26" s="627">
        <f>'BALANCE SHEET'!J61/('BALANCE SHEET'!J47+'BALANCE SHEET'!J53)</f>
        <v>0.29061211179742719</v>
      </c>
      <c r="G26" s="627">
        <f>'BALANCE SHEET'!L61/('BALANCE SHEET'!L47+'BALANCE SHEET'!L53)</f>
        <v>0.32177211167238051</v>
      </c>
    </row>
    <row r="27" spans="1:8" ht="16.5" customHeight="1" thickTop="1" thickBot="1" x14ac:dyDescent="0.3">
      <c r="A27" s="625" t="s">
        <v>162</v>
      </c>
      <c r="B27" s="628">
        <f>'BALANCE SHEET'!B61/'BALANCE SHEET'!B23</f>
        <v>-6.8379178126804895E-3</v>
      </c>
      <c r="C27" s="627">
        <f>'BALANCE SHEET'!D61/'BALANCE SHEET'!D23</f>
        <v>9.949496794754692E-2</v>
      </c>
      <c r="D27" s="627">
        <f>'BALANCE SHEET'!F61/'BALANCE SHEET'!F23</f>
        <v>0.2358555202417548</v>
      </c>
      <c r="E27" s="627">
        <f>'BALANCE SHEET'!H61/'BALANCE SHEET'!H23</f>
        <v>0.1867218179554791</v>
      </c>
      <c r="F27" s="627">
        <f>'BALANCE SHEET'!J61/'BALANCE SHEET'!J23</f>
        <v>0.27080119277984199</v>
      </c>
      <c r="G27" s="627">
        <f>'BALANCE SHEET'!L61/'BALANCE SHEET'!L23</f>
        <v>0.27289292781113539</v>
      </c>
    </row>
    <row r="28" spans="1:8" ht="16.5" customHeight="1" thickTop="1" thickBot="1" x14ac:dyDescent="0.3">
      <c r="A28" s="625" t="s">
        <v>163</v>
      </c>
      <c r="B28" s="628">
        <f>'BALANCE SHEET'!B18/('BALANCE SHEET'!B47+'BALANCE SHEET'!B53)</f>
        <v>6.6527036276522927E-2</v>
      </c>
      <c r="C28" s="627">
        <f>'BALANCE SHEET'!D18/('BALANCE SHEET'!D47+'BALANCE SHEET'!D53)</f>
        <v>3.1062750550133175E-2</v>
      </c>
      <c r="D28" s="627">
        <f>'BALANCE SHEET'!F18/('BALANCE SHEET'!F47+'BALANCE SHEET'!F53)</f>
        <v>0.14401080019636719</v>
      </c>
      <c r="E28" s="627">
        <f>'BALANCE SHEET'!H18/('BALANCE SHEET'!H47+'BALANCE SHEET'!H53)</f>
        <v>8.4021811021573203E-2</v>
      </c>
      <c r="F28" s="627">
        <f>'BALANCE SHEET'!J18/('BALANCE SHEET'!J47+'BALANCE SHEET'!J53)</f>
        <v>0.16747278715180564</v>
      </c>
      <c r="G28" s="627">
        <f>'BALANCE SHEET'!L18/('BALANCE SHEET'!L47+'BALANCE SHEET'!L53)</f>
        <v>8.2443409062796361E-2</v>
      </c>
    </row>
    <row r="29" spans="1:8" ht="16.5" customHeight="1" thickTop="1" thickBot="1" x14ac:dyDescent="0.3">
      <c r="A29" s="625" t="s">
        <v>164</v>
      </c>
      <c r="B29" s="628">
        <f>'BALANCE SHEET'!B23/'BALANCE SHEET'!B53</f>
        <v>1.0217064097598256</v>
      </c>
      <c r="C29" s="627">
        <f>'BALANCE SHEET'!D23/'BALANCE SHEET'!D53</f>
        <v>1.1372583752670749</v>
      </c>
      <c r="D29" s="627">
        <f>'BALANCE SHEET'!F23/'BALANCE SHEET'!F53</f>
        <v>1.1978293906004749</v>
      </c>
      <c r="E29" s="627">
        <f>'BALANCE SHEET'!H23/'BALANCE SHEET'!H53</f>
        <v>1.2393388360203932</v>
      </c>
      <c r="F29" s="627">
        <f>'BALANCE SHEET'!J23/'BALANCE SHEET'!J53</f>
        <v>1.24679413365545</v>
      </c>
      <c r="G29" s="627">
        <f>'BALANCE SHEET'!L23/'BALANCE SHEET'!L53</f>
        <v>1.3769720543305481</v>
      </c>
    </row>
    <row r="30" spans="1:8" ht="22.5" thickTop="1" thickBot="1" x14ac:dyDescent="0.4">
      <c r="A30" s="594" t="s">
        <v>165</v>
      </c>
      <c r="B30" s="405"/>
      <c r="C30" s="406"/>
      <c r="D30" s="406"/>
      <c r="E30" s="406"/>
      <c r="F30" s="406"/>
      <c r="G30" s="406"/>
    </row>
    <row r="31" spans="1:8" ht="16.5" thickTop="1" thickBot="1" x14ac:dyDescent="0.3">
      <c r="A31" s="590" t="s">
        <v>166</v>
      </c>
      <c r="B31" s="611">
        <f>('BALANCE SHEET'!B47+'BALANCE SHEET'!B53)/'BALANCE SHEET'!B34</f>
        <v>1.0059212338198844</v>
      </c>
      <c r="C31" s="612">
        <f>('BALANCE SHEET'!D47+'BALANCE SHEET'!D53)/'BALANCE SHEET'!D34</f>
        <v>0.90924282289656788</v>
      </c>
      <c r="D31" s="613">
        <f>('BALANCE SHEET'!F47+'BALANCE SHEET'!F53)/'BALANCE SHEET'!F34</f>
        <v>0.80197639740548632</v>
      </c>
      <c r="E31" s="613">
        <f>('BALANCE SHEET'!H47+'BALANCE SHEET'!H53)/'BALANCE SHEET'!H34</f>
        <v>0.83355434555079455</v>
      </c>
      <c r="F31" s="612">
        <f>('BALANCE SHEET'!J47+'BALANCE SHEET'!J53)/'BALANCE SHEET'!J34</f>
        <v>0.77482613936367484</v>
      </c>
      <c r="G31" s="613">
        <f>('BALANCE SHEET'!L47+'BALANCE SHEET'!L53)/'BALANCE SHEET'!L34</f>
        <v>0.75656006899309114</v>
      </c>
    </row>
    <row r="32" spans="1:8" ht="16.5" thickTop="1" thickBot="1" x14ac:dyDescent="0.3">
      <c r="A32" s="590" t="s">
        <v>167</v>
      </c>
      <c r="B32" s="614">
        <f t="shared" ref="B32:G32" si="3">1/B26</f>
        <v>-169.88372093023256</v>
      </c>
      <c r="C32" s="615">
        <f t="shared" si="3"/>
        <v>10.018412338457178</v>
      </c>
      <c r="D32" s="616">
        <f t="shared" si="3"/>
        <v>4.0499030766936723</v>
      </c>
      <c r="E32" s="616">
        <f t="shared" si="3"/>
        <v>5.007967004660804</v>
      </c>
      <c r="F32" s="615">
        <f t="shared" si="3"/>
        <v>3.4410128119403902</v>
      </c>
      <c r="G32" s="616">
        <f t="shared" si="3"/>
        <v>3.1077895309279393</v>
      </c>
      <c r="H32" s="630" t="s">
        <v>157</v>
      </c>
    </row>
    <row r="33" spans="1:7" ht="16.5" thickTop="1" thickBot="1" x14ac:dyDescent="0.3">
      <c r="A33" s="590" t="s">
        <v>168</v>
      </c>
      <c r="B33" s="611">
        <f>'INCOME STATEMENT'!B22/(-'INCOME STATEMENT'!B26)</f>
        <v>2.6235457468576437</v>
      </c>
      <c r="C33" s="599">
        <f>'INCOME STATEMENT'!E22/(-'INCOME STATEMENT'!E26)</f>
        <v>2.2067912966354517</v>
      </c>
      <c r="D33" s="599">
        <f>'INCOME STATEMENT'!H22/(-'INCOME STATEMENT'!H26)</f>
        <v>2.16649293249385</v>
      </c>
      <c r="E33" s="599">
        <f>'INCOME STATEMENT'!K22/(-'INCOME STATEMENT'!K26)</f>
        <v>2.2621916464521945</v>
      </c>
      <c r="F33" s="599">
        <f>'INCOME STATEMENT'!N22/(-'INCOME STATEMENT'!N26)</f>
        <v>2.0723231728530522</v>
      </c>
      <c r="G33" s="597">
        <f>'INCOME STATEMENT'!Q22/(-'INCOME STATEMENT'!Q26)</f>
        <v>2.1915570156175885</v>
      </c>
    </row>
    <row r="34" spans="1:7" ht="22.5" thickTop="1" thickBot="1" x14ac:dyDescent="0.4">
      <c r="A34" s="622" t="s">
        <v>169</v>
      </c>
      <c r="B34" s="409"/>
      <c r="C34" s="407"/>
      <c r="D34" s="407"/>
      <c r="E34" s="407"/>
      <c r="F34" s="407"/>
      <c r="G34" s="407"/>
    </row>
    <row r="35" spans="1:7" ht="16.5" thickTop="1" thickBot="1" x14ac:dyDescent="0.3">
      <c r="A35" s="592" t="s">
        <v>170</v>
      </c>
      <c r="B35" s="611">
        <f>'INCOME STATEMENT'!B32/'INCOME STATEMENT'!B35*1000</f>
        <v>2.1229574468085106</v>
      </c>
      <c r="C35" s="597">
        <f>'INCOME STATEMENT'!E32/'INCOME STATEMENT'!E35*1000</f>
        <v>2.4878510638297873</v>
      </c>
      <c r="D35" s="597">
        <f>'INCOME STATEMENT'!H32/'INCOME STATEMENT'!H35*1000</f>
        <v>1.6413434819502</v>
      </c>
      <c r="E35" s="597">
        <f>'INCOME STATEMENT'!K32/'INCOME STATEMENT'!K35*1000</f>
        <v>1.4526036484245439</v>
      </c>
      <c r="F35" s="597">
        <f>'INCOME STATEMENT'!N32/'INCOME STATEMENT'!N35*1000</f>
        <v>1.1999051896088024</v>
      </c>
      <c r="G35" s="597">
        <f>'INCOME STATEMENT'!Q32/'INCOME STATEMENT'!Q35*1000</f>
        <v>1.0191844919786095</v>
      </c>
    </row>
    <row r="36" spans="1:7" ht="16.5" thickTop="1" thickBot="1" x14ac:dyDescent="0.3">
      <c r="A36" s="636" t="s">
        <v>171</v>
      </c>
      <c r="B36" s="637"/>
      <c r="C36" s="638"/>
      <c r="D36" s="638"/>
      <c r="E36" s="597">
        <f>(-'CASH FLOW STATEMENT'!E45)*1000/'INCOME STATEMENT'!K35</f>
        <v>1.02</v>
      </c>
      <c r="F36" s="597">
        <f>(-'CASH FLOW STATEMENT'!F45)*1000/'INCOME STATEMENT'!N35</f>
        <v>1.0809928681891525</v>
      </c>
      <c r="G36" s="638"/>
    </row>
    <row r="37" spans="1:7" ht="16.5" thickTop="1" thickBot="1" x14ac:dyDescent="0.3">
      <c r="A37" s="591" t="s">
        <v>172</v>
      </c>
      <c r="B37" s="639"/>
      <c r="C37" s="639"/>
      <c r="D37" s="639"/>
      <c r="E37" s="608">
        <f>E36/'STOCK RETURNS &amp; BETA'!J15</f>
        <v>8.1243816790515247E-2</v>
      </c>
      <c r="F37" s="608">
        <f>F36/'STOCK RETURNS &amp; BETA'!K15</f>
        <v>8.6111560867107889E-2</v>
      </c>
      <c r="G37" s="640"/>
    </row>
    <row r="38" spans="1:7" ht="16.5" thickTop="1" thickBot="1" x14ac:dyDescent="0.3">
      <c r="A38" s="625" t="s">
        <v>173</v>
      </c>
      <c r="B38" s="611"/>
      <c r="C38" s="617"/>
      <c r="D38" s="617"/>
      <c r="E38" s="617"/>
      <c r="F38" s="617"/>
      <c r="G38" s="597">
        <f>'STOCK RETURNS &amp; BETA'!B2/G35</f>
        <v>16.797743818456095</v>
      </c>
    </row>
    <row r="39" spans="1:7" ht="16.5" thickTop="1" thickBot="1" x14ac:dyDescent="0.3">
      <c r="A39" s="625" t="s">
        <v>174</v>
      </c>
      <c r="B39" s="618"/>
      <c r="C39" s="617"/>
      <c r="D39" s="617"/>
      <c r="E39" s="617"/>
      <c r="F39" s="617"/>
      <c r="G39" s="597">
        <f>'STOCK RETURNS &amp; BETA'!B2*'INCOME STATEMENT'!Q35/('BALANCE SHEET'!L61*1000)</f>
        <v>2.001140762247958</v>
      </c>
    </row>
    <row r="40" spans="1:7" ht="15.75" thickTop="1" x14ac:dyDescent="0.25"/>
    <row r="41" spans="1:7" x14ac:dyDescent="0.25">
      <c r="A41" s="629" t="s">
        <v>175</v>
      </c>
      <c r="B41" s="4"/>
    </row>
    <row r="42" spans="1:7" x14ac:dyDescent="0.25">
      <c r="B42" s="3"/>
    </row>
    <row r="43" spans="1:7" x14ac:dyDescent="0.25">
      <c r="B43" s="1"/>
    </row>
    <row r="46" spans="1:7" x14ac:dyDescent="0.25">
      <c r="B46" s="2"/>
    </row>
  </sheetData>
  <pageMargins left="0.7" right="0.7" top="0.75" bottom="0.75" header="0.3" footer="0.3"/>
  <pageSetup orientation="portrait" r:id="rId1"/>
  <ignoredErrors>
    <ignoredError sqref="B12:G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32"/>
  <sheetViews>
    <sheetView zoomScale="115" zoomScaleNormal="115" workbookViewId="0">
      <selection activeCell="G1" sqref="G1"/>
    </sheetView>
  </sheetViews>
  <sheetFormatPr defaultRowHeight="15" x14ac:dyDescent="0.25"/>
  <cols>
    <col min="1" max="3" width="15.85546875" customWidth="1"/>
    <col min="4" max="4" width="24.42578125" bestFit="1" customWidth="1"/>
    <col min="5" max="5" width="24.42578125" customWidth="1"/>
    <col min="8" max="8" width="21" customWidth="1"/>
    <col min="9" max="9" width="10.28515625" customWidth="1"/>
    <col min="10" max="10" width="21.42578125" customWidth="1"/>
    <col min="11" max="11" width="16.42578125" customWidth="1"/>
    <col min="12" max="12" width="16.28515625" customWidth="1"/>
  </cols>
  <sheetData>
    <row r="1" spans="1:11" ht="22.5" customHeight="1" thickBot="1" x14ac:dyDescent="0.3">
      <c r="A1" s="556" t="s">
        <v>176</v>
      </c>
      <c r="B1" s="557" t="s">
        <v>177</v>
      </c>
      <c r="C1" s="558" t="s">
        <v>178</v>
      </c>
      <c r="D1" s="559" t="s">
        <v>179</v>
      </c>
      <c r="E1" s="559" t="s">
        <v>180</v>
      </c>
    </row>
    <row r="2" spans="1:11" ht="15.75" thickTop="1" x14ac:dyDescent="0.25">
      <c r="A2" s="562" t="s">
        <v>181</v>
      </c>
      <c r="B2" s="563">
        <v>17.12</v>
      </c>
      <c r="C2" s="564">
        <v>9621.24</v>
      </c>
      <c r="D2" s="560"/>
      <c r="E2" s="560"/>
    </row>
    <row r="3" spans="1:11" ht="15.75" thickBot="1" x14ac:dyDescent="0.3">
      <c r="A3" s="562" t="s">
        <v>182</v>
      </c>
      <c r="B3" s="563">
        <v>17.22</v>
      </c>
      <c r="C3" s="564">
        <v>9684.17</v>
      </c>
      <c r="D3" s="560">
        <f t="shared" ref="D3:D54" si="0">(B2-B3)/B3</f>
        <v>-5.8072009291520255E-3</v>
      </c>
      <c r="E3" s="560">
        <f t="shared" ref="E3:E54" si="1">(C2-C3)/C3</f>
        <v>-6.4982337154346004E-3</v>
      </c>
    </row>
    <row r="4" spans="1:11" ht="20.25" thickTop="1" thickBot="1" x14ac:dyDescent="0.3">
      <c r="A4" s="562" t="s">
        <v>183</v>
      </c>
      <c r="B4" s="563">
        <v>17.47</v>
      </c>
      <c r="C4" s="564">
        <v>9726.26</v>
      </c>
      <c r="D4" s="560">
        <f t="shared" si="0"/>
        <v>-1.4310246136233544E-2</v>
      </c>
      <c r="E4" s="560">
        <f t="shared" si="1"/>
        <v>-4.3274598869452539E-3</v>
      </c>
      <c r="H4" s="561" t="s">
        <v>184</v>
      </c>
      <c r="I4" s="561" t="s">
        <v>185</v>
      </c>
      <c r="J4" s="561" t="s">
        <v>186</v>
      </c>
    </row>
    <row r="5" spans="1:11" ht="16.5" thickTop="1" thickBot="1" x14ac:dyDescent="0.3">
      <c r="A5" s="562" t="s">
        <v>187</v>
      </c>
      <c r="B5" s="563">
        <v>17.63</v>
      </c>
      <c r="C5" s="564">
        <v>9698.9500000000007</v>
      </c>
      <c r="D5" s="560">
        <f t="shared" si="0"/>
        <v>-9.0754395916052277E-3</v>
      </c>
      <c r="E5" s="560">
        <f t="shared" si="1"/>
        <v>2.8157687172322252E-3</v>
      </c>
      <c r="H5" s="565" t="s">
        <v>188</v>
      </c>
      <c r="I5" s="566">
        <f>AVERAGE(D2:D731)</f>
        <v>1.0015825021526636E-3</v>
      </c>
      <c r="J5" s="567">
        <f>AVERAGE(E2:E731)</f>
        <v>3.5414013786546982E-4</v>
      </c>
    </row>
    <row r="6" spans="1:11" ht="16.5" thickTop="1" thickBot="1" x14ac:dyDescent="0.3">
      <c r="A6" s="562" t="s">
        <v>189</v>
      </c>
      <c r="B6" s="563">
        <v>17.78</v>
      </c>
      <c r="C6" s="564">
        <v>9715.2099999999991</v>
      </c>
      <c r="D6" s="560">
        <f t="shared" si="0"/>
        <v>-8.4364454443195801E-3</v>
      </c>
      <c r="E6" s="560">
        <f t="shared" si="1"/>
        <v>-1.6736642851774076E-3</v>
      </c>
      <c r="H6" s="565" t="s">
        <v>190</v>
      </c>
      <c r="I6" s="568">
        <f>VAR(D2:D731)</f>
        <v>3.7851043854599594E-4</v>
      </c>
      <c r="J6" s="568">
        <f>VAR(E2:E731)</f>
        <v>1.2597803574593652E-4</v>
      </c>
    </row>
    <row r="7" spans="1:11" ht="16.5" thickTop="1" thickBot="1" x14ac:dyDescent="0.3">
      <c r="A7" s="562" t="s">
        <v>191</v>
      </c>
      <c r="B7" s="563">
        <v>17.29</v>
      </c>
      <c r="C7" s="564">
        <v>9733.0300000000007</v>
      </c>
      <c r="D7" s="560">
        <f t="shared" si="0"/>
        <v>2.8340080971660034E-2</v>
      </c>
      <c r="E7" s="560">
        <f t="shared" si="1"/>
        <v>-1.8308789760230397E-3</v>
      </c>
      <c r="H7" s="569" t="s">
        <v>192</v>
      </c>
      <c r="I7" s="570">
        <f>STDEV(D2:D731)</f>
        <v>1.945534472955943E-2</v>
      </c>
      <c r="J7" s="568">
        <f>STDEV(E2:E731)</f>
        <v>1.1223993752044614E-2</v>
      </c>
    </row>
    <row r="8" spans="1:11" ht="16.5" thickTop="1" thickBot="1" x14ac:dyDescent="0.3">
      <c r="A8" s="562" t="s">
        <v>193</v>
      </c>
      <c r="B8" s="563">
        <v>17.649999999999999</v>
      </c>
      <c r="C8" s="564">
        <v>9769.73</v>
      </c>
      <c r="D8" s="560">
        <f t="shared" si="0"/>
        <v>-2.0396600566572207E-2</v>
      </c>
      <c r="E8" s="560">
        <f t="shared" si="1"/>
        <v>-3.7565009473136831E-3</v>
      </c>
      <c r="H8" s="565" t="s">
        <v>194</v>
      </c>
      <c r="I8" s="568">
        <f>COVAR(D2:D731,E2:E731)</f>
        <v>8.3001217392076332E-5</v>
      </c>
      <c r="J8" s="571"/>
    </row>
    <row r="9" spans="1:11" ht="16.5" thickTop="1" thickBot="1" x14ac:dyDescent="0.3">
      <c r="A9" s="562" t="s">
        <v>195</v>
      </c>
      <c r="B9" s="563">
        <v>17.649999999999999</v>
      </c>
      <c r="C9" s="564">
        <v>9854.76</v>
      </c>
      <c r="D9" s="560">
        <f t="shared" si="0"/>
        <v>0</v>
      </c>
      <c r="E9" s="560">
        <f t="shared" si="1"/>
        <v>-8.6283176860725841E-3</v>
      </c>
      <c r="H9" s="572" t="s">
        <v>196</v>
      </c>
      <c r="I9" s="568">
        <f>I8/(I7*J7)</f>
        <v>0.38010021525124371</v>
      </c>
      <c r="J9" s="573"/>
    </row>
    <row r="10" spans="1:11" ht="16.5" thickTop="1" thickBot="1" x14ac:dyDescent="0.3">
      <c r="A10" s="562" t="s">
        <v>197</v>
      </c>
      <c r="B10" s="563">
        <v>16.809999999999999</v>
      </c>
      <c r="C10" s="564">
        <v>9887.8799999999992</v>
      </c>
      <c r="D10" s="560">
        <f t="shared" si="0"/>
        <v>4.9970255800118969E-2</v>
      </c>
      <c r="E10" s="560">
        <f t="shared" si="1"/>
        <v>-3.3495552130485993E-3</v>
      </c>
      <c r="H10" s="565" t="s">
        <v>198</v>
      </c>
      <c r="I10" s="574">
        <f>SLOPE(D2:D731,E2:E731)</f>
        <v>0.65975969192717043</v>
      </c>
      <c r="J10" s="573"/>
    </row>
    <row r="11" spans="1:11" ht="15.75" thickTop="1" x14ac:dyDescent="0.25">
      <c r="A11" s="562" t="s">
        <v>199</v>
      </c>
      <c r="B11" s="563">
        <v>16.920000000000002</v>
      </c>
      <c r="C11" s="564">
        <v>9738.93</v>
      </c>
      <c r="D11" s="560">
        <f t="shared" si="0"/>
        <v>-6.5011820330971026E-3</v>
      </c>
      <c r="E11" s="560">
        <f t="shared" si="1"/>
        <v>1.5294287976194398E-2</v>
      </c>
    </row>
    <row r="12" spans="1:11" x14ac:dyDescent="0.25">
      <c r="A12" s="562" t="s">
        <v>200</v>
      </c>
      <c r="B12" s="563">
        <v>16.78</v>
      </c>
      <c r="C12" s="564">
        <v>9704.49</v>
      </c>
      <c r="D12" s="560">
        <f t="shared" si="0"/>
        <v>8.3432657926102837E-3</v>
      </c>
      <c r="E12" s="560">
        <f t="shared" si="1"/>
        <v>3.5488727382892364E-3</v>
      </c>
    </row>
    <row r="13" spans="1:11" x14ac:dyDescent="0.25">
      <c r="A13" s="562" t="s">
        <v>201</v>
      </c>
      <c r="B13" s="563">
        <v>16.7</v>
      </c>
      <c r="C13" s="564">
        <v>9635.08</v>
      </c>
      <c r="D13" s="560">
        <f t="shared" si="0"/>
        <v>4.7904191616767577E-3</v>
      </c>
      <c r="E13" s="560">
        <f t="shared" si="1"/>
        <v>7.203884140038262E-3</v>
      </c>
    </row>
    <row r="14" spans="1:11" x14ac:dyDescent="0.25">
      <c r="A14" s="562" t="s">
        <v>202</v>
      </c>
      <c r="B14" s="563">
        <v>16.84</v>
      </c>
      <c r="C14" s="564">
        <v>9607.32</v>
      </c>
      <c r="D14" s="560">
        <f t="shared" si="0"/>
        <v>-8.3135391923990845E-3</v>
      </c>
      <c r="E14" s="560">
        <f t="shared" si="1"/>
        <v>2.8894634507854655E-3</v>
      </c>
      <c r="I14" s="588">
        <v>2010</v>
      </c>
      <c r="J14" s="588">
        <v>2011</v>
      </c>
      <c r="K14" s="588">
        <v>2012</v>
      </c>
    </row>
    <row r="15" spans="1:11" x14ac:dyDescent="0.25">
      <c r="A15" s="562" t="s">
        <v>203</v>
      </c>
      <c r="B15" s="563">
        <v>16.920000000000002</v>
      </c>
      <c r="C15" s="564">
        <v>9655.3799999999992</v>
      </c>
      <c r="D15" s="560">
        <f t="shared" si="0"/>
        <v>-4.7281323877069641E-3</v>
      </c>
      <c r="E15" s="560">
        <f t="shared" si="1"/>
        <v>-4.9775358401222426E-3</v>
      </c>
      <c r="H15" s="588" t="s">
        <v>204</v>
      </c>
      <c r="I15" s="589">
        <f>AVERAGE(B692:B731)</f>
        <v>9.6582500000000007</v>
      </c>
      <c r="J15" s="589">
        <f>AVERAGE(B440:B691)</f>
        <v>12.554801587301585</v>
      </c>
      <c r="K15" s="589">
        <f>AVERAGE(B190:B439)</f>
        <v>12.553400000000003</v>
      </c>
    </row>
    <row r="16" spans="1:11" x14ac:dyDescent="0.25">
      <c r="A16" s="562" t="s">
        <v>205</v>
      </c>
      <c r="B16" s="563">
        <v>16.88</v>
      </c>
      <c r="C16" s="564">
        <v>9620.7099999999991</v>
      </c>
      <c r="D16" s="560">
        <f t="shared" si="0"/>
        <v>2.3696682464456578E-3</v>
      </c>
      <c r="E16" s="560">
        <f t="shared" si="1"/>
        <v>3.6036841355783591E-3</v>
      </c>
    </row>
    <row r="17" spans="1:5" x14ac:dyDescent="0.25">
      <c r="A17" s="562" t="s">
        <v>206</v>
      </c>
      <c r="B17" s="563">
        <v>16.95</v>
      </c>
      <c r="C17" s="564">
        <v>9539.93</v>
      </c>
      <c r="D17" s="560">
        <f t="shared" si="0"/>
        <v>-4.1297935103245011E-3</v>
      </c>
      <c r="E17" s="560">
        <f t="shared" si="1"/>
        <v>8.4675673720875141E-3</v>
      </c>
    </row>
    <row r="18" spans="1:5" x14ac:dyDescent="0.25">
      <c r="A18" s="562" t="s">
        <v>207</v>
      </c>
      <c r="B18" s="563">
        <v>16.71</v>
      </c>
      <c r="C18" s="564">
        <v>9439.69</v>
      </c>
      <c r="D18" s="560">
        <f t="shared" si="0"/>
        <v>1.4362657091561844E-2</v>
      </c>
      <c r="E18" s="560">
        <f t="shared" si="1"/>
        <v>1.0618992784720661E-2</v>
      </c>
    </row>
    <row r="19" spans="1:5" x14ac:dyDescent="0.25">
      <c r="A19" s="562" t="s">
        <v>208</v>
      </c>
      <c r="B19" s="563">
        <v>16.59</v>
      </c>
      <c r="C19" s="564">
        <v>9420.35</v>
      </c>
      <c r="D19" s="560">
        <f t="shared" si="0"/>
        <v>7.2332730560579258E-3</v>
      </c>
      <c r="E19" s="560">
        <f t="shared" si="1"/>
        <v>2.0530022769854779E-3</v>
      </c>
    </row>
    <row r="20" spans="1:5" x14ac:dyDescent="0.25">
      <c r="A20" s="562" t="s">
        <v>209</v>
      </c>
      <c r="B20" s="563">
        <v>16.73</v>
      </c>
      <c r="C20" s="564">
        <v>9400.24</v>
      </c>
      <c r="D20" s="560">
        <f t="shared" si="0"/>
        <v>-8.3682008368201177E-3</v>
      </c>
      <c r="E20" s="560">
        <f t="shared" si="1"/>
        <v>2.1393070815213847E-3</v>
      </c>
    </row>
    <row r="21" spans="1:5" x14ac:dyDescent="0.25">
      <c r="A21" s="562" t="s">
        <v>210</v>
      </c>
      <c r="B21" s="563">
        <v>16.579999999999998</v>
      </c>
      <c r="C21" s="564">
        <v>9333.49</v>
      </c>
      <c r="D21" s="560">
        <f t="shared" si="0"/>
        <v>9.0470446320869806E-3</v>
      </c>
      <c r="E21" s="560">
        <f t="shared" si="1"/>
        <v>7.1516656684691366E-3</v>
      </c>
    </row>
    <row r="22" spans="1:5" x14ac:dyDescent="0.25">
      <c r="A22" s="562" t="s">
        <v>211</v>
      </c>
      <c r="B22" s="563">
        <v>16.579999999999998</v>
      </c>
      <c r="C22" s="564">
        <v>9270.66</v>
      </c>
      <c r="D22" s="560">
        <f t="shared" si="0"/>
        <v>0</v>
      </c>
      <c r="E22" s="560">
        <f t="shared" si="1"/>
        <v>6.77729525190223E-3</v>
      </c>
    </row>
    <row r="23" spans="1:5" x14ac:dyDescent="0.25">
      <c r="A23" s="562" t="s">
        <v>212</v>
      </c>
      <c r="B23" s="563">
        <v>16.829999999999998</v>
      </c>
      <c r="C23" s="564">
        <v>9315.82</v>
      </c>
      <c r="D23" s="560">
        <f t="shared" si="0"/>
        <v>-1.4854426619132503E-2</v>
      </c>
      <c r="E23" s="560">
        <f t="shared" si="1"/>
        <v>-4.8476677308062904E-3</v>
      </c>
    </row>
    <row r="24" spans="1:5" x14ac:dyDescent="0.25">
      <c r="A24" s="562" t="s">
        <v>213</v>
      </c>
      <c r="B24" s="563">
        <v>16.239999999999998</v>
      </c>
      <c r="C24" s="564">
        <v>9309.07</v>
      </c>
      <c r="D24" s="560">
        <f t="shared" si="0"/>
        <v>3.6330049261083741E-2</v>
      </c>
      <c r="E24" s="560">
        <f t="shared" si="1"/>
        <v>7.2509928489097192E-4</v>
      </c>
    </row>
    <row r="25" spans="1:5" x14ac:dyDescent="0.25">
      <c r="A25" s="562" t="s">
        <v>214</v>
      </c>
      <c r="B25" s="563">
        <v>16.5</v>
      </c>
      <c r="C25" s="564">
        <v>9288.23</v>
      </c>
      <c r="D25" s="560">
        <f t="shared" si="0"/>
        <v>-1.5757575757575852E-2</v>
      </c>
      <c r="E25" s="560">
        <f t="shared" si="1"/>
        <v>2.2436998222481728E-3</v>
      </c>
    </row>
    <row r="26" spans="1:5" x14ac:dyDescent="0.25">
      <c r="A26" s="562" t="s">
        <v>215</v>
      </c>
      <c r="B26" s="563">
        <v>17.2</v>
      </c>
      <c r="C26" s="564">
        <v>9432.51</v>
      </c>
      <c r="D26" s="560">
        <f t="shared" si="0"/>
        <v>-4.0697674418604612E-2</v>
      </c>
      <c r="E26" s="560">
        <f t="shared" si="1"/>
        <v>-1.5296034671577412E-2</v>
      </c>
    </row>
    <row r="27" spans="1:5" x14ac:dyDescent="0.25">
      <c r="A27" s="562" t="s">
        <v>216</v>
      </c>
      <c r="B27" s="563">
        <v>16.920000000000002</v>
      </c>
      <c r="C27" s="564">
        <v>9474.77</v>
      </c>
      <c r="D27" s="560">
        <f t="shared" si="0"/>
        <v>1.6548463356973849E-2</v>
      </c>
      <c r="E27" s="560">
        <f t="shared" si="1"/>
        <v>-4.4602665816690238E-3</v>
      </c>
    </row>
    <row r="28" spans="1:5" x14ac:dyDescent="0.25">
      <c r="A28" s="562" t="s">
        <v>217</v>
      </c>
      <c r="B28" s="563">
        <v>16.97</v>
      </c>
      <c r="C28" s="564">
        <v>9425.7800000000007</v>
      </c>
      <c r="D28" s="560">
        <f t="shared" si="0"/>
        <v>-2.9463759575720188E-3</v>
      </c>
      <c r="E28" s="560">
        <f t="shared" si="1"/>
        <v>5.1974478504696461E-3</v>
      </c>
    </row>
    <row r="29" spans="1:5" x14ac:dyDescent="0.25">
      <c r="A29" s="562" t="s">
        <v>218</v>
      </c>
      <c r="B29" s="563">
        <v>16.75</v>
      </c>
      <c r="C29" s="564">
        <v>9339.3799999999992</v>
      </c>
      <c r="D29" s="560">
        <f t="shared" si="0"/>
        <v>1.3134328358208887E-2</v>
      </c>
      <c r="E29" s="560">
        <f t="shared" si="1"/>
        <v>9.2511494339026206E-3</v>
      </c>
    </row>
    <row r="30" spans="1:5" x14ac:dyDescent="0.25">
      <c r="A30" s="562" t="s">
        <v>219</v>
      </c>
      <c r="B30" s="563">
        <v>16.64</v>
      </c>
      <c r="C30" s="564">
        <v>9421.56</v>
      </c>
      <c r="D30" s="560">
        <f t="shared" si="0"/>
        <v>6.6105769230768883E-3</v>
      </c>
      <c r="E30" s="560">
        <f t="shared" si="1"/>
        <v>-8.7225470092002055E-3</v>
      </c>
    </row>
    <row r="31" spans="1:5" x14ac:dyDescent="0.25">
      <c r="A31" s="562" t="s">
        <v>220</v>
      </c>
      <c r="B31" s="563">
        <v>16.57</v>
      </c>
      <c r="C31" s="564">
        <v>9385.89</v>
      </c>
      <c r="D31" s="560">
        <f t="shared" si="0"/>
        <v>4.2245021122510728E-3</v>
      </c>
      <c r="E31" s="560">
        <f t="shared" si="1"/>
        <v>3.8003854722354594E-3</v>
      </c>
    </row>
    <row r="32" spans="1:5" x14ac:dyDescent="0.25">
      <c r="A32" s="562" t="s">
        <v>221</v>
      </c>
      <c r="B32" s="563">
        <v>16.38</v>
      </c>
      <c r="C32" s="564">
        <v>9465.59</v>
      </c>
      <c r="D32" s="560">
        <f t="shared" si="0"/>
        <v>1.1599511599511678E-2</v>
      </c>
      <c r="E32" s="560">
        <f t="shared" si="1"/>
        <v>-8.4199717080499711E-3</v>
      </c>
    </row>
    <row r="33" spans="1:5" x14ac:dyDescent="0.25">
      <c r="A33" s="562" t="s">
        <v>222</v>
      </c>
      <c r="B33" s="563">
        <v>16.91</v>
      </c>
      <c r="C33" s="564">
        <v>9489.2900000000009</v>
      </c>
      <c r="D33" s="560">
        <f t="shared" si="0"/>
        <v>-3.1342400946185754E-2</v>
      </c>
      <c r="E33" s="560">
        <f t="shared" si="1"/>
        <v>-2.4975525039281892E-3</v>
      </c>
    </row>
    <row r="34" spans="1:5" x14ac:dyDescent="0.25">
      <c r="A34" s="562" t="s">
        <v>223</v>
      </c>
      <c r="B34" s="563">
        <v>17.02</v>
      </c>
      <c r="C34" s="564">
        <v>9593.5</v>
      </c>
      <c r="D34" s="560">
        <f t="shared" si="0"/>
        <v>-6.4629847238542558E-3</v>
      </c>
      <c r="E34" s="560">
        <f t="shared" si="1"/>
        <v>-1.0862563193829064E-2</v>
      </c>
    </row>
    <row r="35" spans="1:5" x14ac:dyDescent="0.25">
      <c r="A35" s="562" t="s">
        <v>224</v>
      </c>
      <c r="B35" s="563">
        <v>17.14</v>
      </c>
      <c r="C35" s="564">
        <v>9630.57</v>
      </c>
      <c r="D35" s="560">
        <f t="shared" si="0"/>
        <v>-7.0011668611435814E-3</v>
      </c>
      <c r="E35" s="560">
        <f t="shared" si="1"/>
        <v>-3.8492010337913239E-3</v>
      </c>
    </row>
    <row r="36" spans="1:5" x14ac:dyDescent="0.25">
      <c r="A36" s="562" t="s">
        <v>225</v>
      </c>
      <c r="B36" s="563">
        <v>17.29</v>
      </c>
      <c r="C36" s="564">
        <v>9609.0300000000007</v>
      </c>
      <c r="D36" s="560">
        <f t="shared" si="0"/>
        <v>-8.6755349913243841E-3</v>
      </c>
      <c r="E36" s="560">
        <f t="shared" si="1"/>
        <v>2.2416414560053463E-3</v>
      </c>
    </row>
    <row r="37" spans="1:5" x14ac:dyDescent="0.25">
      <c r="A37" s="562" t="s">
        <v>226</v>
      </c>
      <c r="B37" s="563">
        <v>17.23</v>
      </c>
      <c r="C37" s="564">
        <v>9622.11</v>
      </c>
      <c r="D37" s="560">
        <f t="shared" si="0"/>
        <v>3.4822983168890727E-3</v>
      </c>
      <c r="E37" s="560">
        <f t="shared" si="1"/>
        <v>-1.3593692028047825E-3</v>
      </c>
    </row>
    <row r="38" spans="1:5" x14ac:dyDescent="0.25">
      <c r="A38" s="562" t="s">
        <v>227</v>
      </c>
      <c r="B38" s="563">
        <v>17.440000000000001</v>
      </c>
      <c r="C38" s="564">
        <v>9634.7000000000007</v>
      </c>
      <c r="D38" s="560">
        <f t="shared" si="0"/>
        <v>-1.2041284403669772E-2</v>
      </c>
      <c r="E38" s="560">
        <f t="shared" si="1"/>
        <v>-1.3067350306704044E-3</v>
      </c>
    </row>
    <row r="39" spans="1:5" x14ac:dyDescent="0.25">
      <c r="A39" s="562" t="s">
        <v>228</v>
      </c>
      <c r="B39" s="563">
        <v>17.48</v>
      </c>
      <c r="C39" s="564">
        <v>9568.26</v>
      </c>
      <c r="D39" s="560">
        <f t="shared" si="0"/>
        <v>-2.2883295194507519E-3</v>
      </c>
      <c r="E39" s="560">
        <f t="shared" si="1"/>
        <v>6.9437912431309879E-3</v>
      </c>
    </row>
    <row r="40" spans="1:5" x14ac:dyDescent="0.25">
      <c r="A40" s="562" t="s">
        <v>229</v>
      </c>
      <c r="B40" s="563">
        <v>17.399999999999999</v>
      </c>
      <c r="C40" s="564">
        <v>9614.32</v>
      </c>
      <c r="D40" s="560">
        <f t="shared" si="0"/>
        <v>4.597701149425394E-3</v>
      </c>
      <c r="E40" s="560">
        <f t="shared" si="1"/>
        <v>-4.7907704341024109E-3</v>
      </c>
    </row>
    <row r="41" spans="1:5" x14ac:dyDescent="0.25">
      <c r="A41" s="562" t="s">
        <v>230</v>
      </c>
      <c r="B41" s="563">
        <v>17.510000000000002</v>
      </c>
      <c r="C41" s="564">
        <v>9671.6</v>
      </c>
      <c r="D41" s="560">
        <f t="shared" si="0"/>
        <v>-6.2821245002857209E-3</v>
      </c>
      <c r="E41" s="560">
        <f t="shared" si="1"/>
        <v>-5.9224947268291337E-3</v>
      </c>
    </row>
    <row r="42" spans="1:5" x14ac:dyDescent="0.25">
      <c r="A42" s="562" t="s">
        <v>231</v>
      </c>
      <c r="B42" s="563">
        <v>17.29</v>
      </c>
      <c r="C42" s="564">
        <v>9690.07</v>
      </c>
      <c r="D42" s="560">
        <f t="shared" si="0"/>
        <v>1.2724117987276023E-2</v>
      </c>
      <c r="E42" s="560">
        <f t="shared" si="1"/>
        <v>-1.9060749819144079E-3</v>
      </c>
    </row>
    <row r="43" spans="1:5" x14ac:dyDescent="0.25">
      <c r="A43" s="562" t="s">
        <v>232</v>
      </c>
      <c r="B43" s="563">
        <v>17.55</v>
      </c>
      <c r="C43" s="564">
        <v>9673.4</v>
      </c>
      <c r="D43" s="560">
        <f t="shared" si="0"/>
        <v>-1.4814814814814904E-2</v>
      </c>
      <c r="E43" s="560">
        <f t="shared" si="1"/>
        <v>1.7232824032915081E-3</v>
      </c>
    </row>
    <row r="44" spans="1:5" x14ac:dyDescent="0.25">
      <c r="A44" s="562" t="s">
        <v>233</v>
      </c>
      <c r="B44" s="563">
        <v>17.09</v>
      </c>
      <c r="C44" s="564">
        <v>9558.83</v>
      </c>
      <c r="D44" s="560">
        <f t="shared" si="0"/>
        <v>2.6916325336454116E-2</v>
      </c>
      <c r="E44" s="560">
        <f t="shared" si="1"/>
        <v>1.1985776501935877E-2</v>
      </c>
    </row>
    <row r="45" spans="1:5" x14ac:dyDescent="0.25">
      <c r="A45" s="562" t="s">
        <v>234</v>
      </c>
      <c r="B45" s="563">
        <v>17.13</v>
      </c>
      <c r="C45" s="564">
        <v>9556.17</v>
      </c>
      <c r="D45" s="560">
        <f t="shared" si="0"/>
        <v>-2.3350846468183977E-3</v>
      </c>
      <c r="E45" s="560">
        <f t="shared" si="1"/>
        <v>2.7835419420121812E-4</v>
      </c>
    </row>
    <row r="46" spans="1:5" x14ac:dyDescent="0.25">
      <c r="A46" s="562" t="s">
        <v>235</v>
      </c>
      <c r="B46" s="563">
        <v>17.32</v>
      </c>
      <c r="C46" s="564">
        <v>9571.7900000000009</v>
      </c>
      <c r="D46" s="560">
        <f t="shared" si="0"/>
        <v>-1.0969976905311853E-2</v>
      </c>
      <c r="E46" s="560">
        <f t="shared" si="1"/>
        <v>-1.6318786768201976E-3</v>
      </c>
    </row>
    <row r="47" spans="1:5" x14ac:dyDescent="0.25">
      <c r="A47" s="562" t="s">
        <v>236</v>
      </c>
      <c r="B47" s="563">
        <v>17.27</v>
      </c>
      <c r="C47" s="564">
        <v>9620.1299999999992</v>
      </c>
      <c r="D47" s="560">
        <f t="shared" si="0"/>
        <v>2.8951939779965669E-3</v>
      </c>
      <c r="E47" s="560">
        <f t="shared" si="1"/>
        <v>-5.0248801211624306E-3</v>
      </c>
    </row>
    <row r="48" spans="1:5" x14ac:dyDescent="0.25">
      <c r="A48" s="562" t="s">
        <v>237</v>
      </c>
      <c r="B48" s="563">
        <v>17.100000000000001</v>
      </c>
      <c r="C48" s="564">
        <v>9635.06</v>
      </c>
      <c r="D48" s="560">
        <f t="shared" si="0"/>
        <v>9.9415204678361489E-3</v>
      </c>
      <c r="E48" s="560">
        <f t="shared" si="1"/>
        <v>-1.5495492503420105E-3</v>
      </c>
    </row>
    <row r="49" spans="1:5" x14ac:dyDescent="0.25">
      <c r="A49" s="562" t="s">
        <v>238</v>
      </c>
      <c r="B49" s="563">
        <v>16.579999999999998</v>
      </c>
      <c r="C49" s="564">
        <v>9605.0400000000009</v>
      </c>
      <c r="D49" s="560">
        <f t="shared" si="0"/>
        <v>3.1363088057901278E-2</v>
      </c>
      <c r="E49" s="560">
        <f t="shared" si="1"/>
        <v>3.1254424760332714E-3</v>
      </c>
    </row>
    <row r="50" spans="1:5" x14ac:dyDescent="0.25">
      <c r="A50" s="562" t="s">
        <v>239</v>
      </c>
      <c r="B50" s="563">
        <v>16.309999999999999</v>
      </c>
      <c r="C50" s="564">
        <v>9659.6299999999992</v>
      </c>
      <c r="D50" s="560">
        <f t="shared" si="0"/>
        <v>1.6554261189454297E-2</v>
      </c>
      <c r="E50" s="560">
        <f t="shared" si="1"/>
        <v>-5.6513551761297621E-3</v>
      </c>
    </row>
    <row r="51" spans="1:5" x14ac:dyDescent="0.25">
      <c r="A51" s="562" t="s">
        <v>240</v>
      </c>
      <c r="B51" s="563">
        <v>17.2</v>
      </c>
      <c r="C51" s="564">
        <v>9650.58</v>
      </c>
      <c r="D51" s="560">
        <f t="shared" si="0"/>
        <v>-5.174418604651166E-2</v>
      </c>
      <c r="E51" s="560">
        <f t="shared" si="1"/>
        <v>9.3776747097058127E-4</v>
      </c>
    </row>
    <row r="52" spans="1:5" x14ac:dyDescent="0.25">
      <c r="A52" s="562" t="s">
        <v>241</v>
      </c>
      <c r="B52" s="563">
        <v>17.36</v>
      </c>
      <c r="C52" s="564">
        <v>9618.5</v>
      </c>
      <c r="D52" s="560">
        <f t="shared" si="0"/>
        <v>-9.2165898617511607E-3</v>
      </c>
      <c r="E52" s="560">
        <f t="shared" si="1"/>
        <v>3.335239382440082E-3</v>
      </c>
    </row>
    <row r="53" spans="1:5" x14ac:dyDescent="0.25">
      <c r="A53" s="562" t="s">
        <v>242</v>
      </c>
      <c r="B53" s="563">
        <v>17.48</v>
      </c>
      <c r="C53" s="564">
        <v>9587.2000000000007</v>
      </c>
      <c r="D53" s="560">
        <f t="shared" si="0"/>
        <v>-6.8649885583524596E-3</v>
      </c>
      <c r="E53" s="560">
        <f t="shared" si="1"/>
        <v>3.2647696929238223E-3</v>
      </c>
    </row>
    <row r="54" spans="1:5" x14ac:dyDescent="0.25">
      <c r="A54" s="562" t="s">
        <v>243</v>
      </c>
      <c r="B54" s="563">
        <v>17.38</v>
      </c>
      <c r="C54" s="564">
        <v>9523.7900000000009</v>
      </c>
      <c r="D54" s="560">
        <f t="shared" si="0"/>
        <v>5.7537399309552026E-3</v>
      </c>
      <c r="E54" s="560">
        <f t="shared" si="1"/>
        <v>6.6580636490304644E-3</v>
      </c>
    </row>
    <row r="55" spans="1:5" x14ac:dyDescent="0.25">
      <c r="A55" s="562" t="s">
        <v>244</v>
      </c>
      <c r="B55" s="563">
        <v>17.489999999999998</v>
      </c>
      <c r="C55" s="564">
        <v>9489</v>
      </c>
      <c r="D55" s="560">
        <f t="shared" ref="D55:D118" si="2">(B54-B55)/B55</f>
        <v>-6.2893081761005972E-3</v>
      </c>
      <c r="E55" s="560">
        <f t="shared" ref="E55:E118" si="3">(C54-C55)/C55</f>
        <v>3.666350511118229E-3</v>
      </c>
    </row>
    <row r="56" spans="1:5" x14ac:dyDescent="0.25">
      <c r="A56" s="562" t="s">
        <v>245</v>
      </c>
      <c r="B56" s="563">
        <v>17.649999999999999</v>
      </c>
      <c r="C56" s="564">
        <v>9520.9500000000007</v>
      </c>
      <c r="D56" s="560">
        <f t="shared" si="2"/>
        <v>-9.0651558073654472E-3</v>
      </c>
      <c r="E56" s="560">
        <f t="shared" si="3"/>
        <v>-3.3557575662093303E-3</v>
      </c>
    </row>
    <row r="57" spans="1:5" x14ac:dyDescent="0.25">
      <c r="A57" s="562" t="s">
        <v>246</v>
      </c>
      <c r="B57" s="563">
        <v>17.48</v>
      </c>
      <c r="C57" s="564">
        <v>9498.5</v>
      </c>
      <c r="D57" s="560">
        <f t="shared" si="2"/>
        <v>9.725400457665798E-3</v>
      </c>
      <c r="E57" s="560">
        <f t="shared" si="3"/>
        <v>2.3635310838554221E-3</v>
      </c>
    </row>
    <row r="58" spans="1:5" x14ac:dyDescent="0.25">
      <c r="A58" s="562" t="s">
        <v>247</v>
      </c>
      <c r="B58" s="563">
        <v>17.36</v>
      </c>
      <c r="C58" s="564">
        <v>9493.26</v>
      </c>
      <c r="D58" s="560">
        <f t="shared" si="2"/>
        <v>6.9124423963134217E-3</v>
      </c>
      <c r="E58" s="560">
        <f t="shared" si="3"/>
        <v>5.5197055595230529E-4</v>
      </c>
    </row>
    <row r="59" spans="1:5" x14ac:dyDescent="0.25">
      <c r="A59" s="562" t="s">
        <v>248</v>
      </c>
      <c r="B59" s="563">
        <v>17.25</v>
      </c>
      <c r="C59" s="564">
        <v>9340.68</v>
      </c>
      <c r="D59" s="560">
        <f t="shared" si="2"/>
        <v>6.3768115942028653E-3</v>
      </c>
      <c r="E59" s="560">
        <f t="shared" si="3"/>
        <v>1.6334999164943013E-2</v>
      </c>
    </row>
    <row r="60" spans="1:5" x14ac:dyDescent="0.25">
      <c r="A60" s="562" t="s">
        <v>249</v>
      </c>
      <c r="B60" s="563">
        <v>17.02</v>
      </c>
      <c r="C60" s="564">
        <v>9341.4</v>
      </c>
      <c r="D60" s="560">
        <f t="shared" si="2"/>
        <v>1.3513513513513539E-2</v>
      </c>
      <c r="E60" s="560">
        <f t="shared" si="3"/>
        <v>-7.7076241248565008E-5</v>
      </c>
    </row>
    <row r="61" spans="1:5" x14ac:dyDescent="0.25">
      <c r="A61" s="562" t="s">
        <v>250</v>
      </c>
      <c r="B61" s="563">
        <v>16.829999999999998</v>
      </c>
      <c r="C61" s="564">
        <v>9266.2999999999993</v>
      </c>
      <c r="D61" s="560">
        <f t="shared" si="2"/>
        <v>1.1289364230540779E-2</v>
      </c>
      <c r="E61" s="560">
        <f t="shared" si="3"/>
        <v>8.1046372338474219E-3</v>
      </c>
    </row>
    <row r="62" spans="1:5" x14ac:dyDescent="0.25">
      <c r="A62" s="562" t="s">
        <v>251</v>
      </c>
      <c r="B62" s="563">
        <v>16.71</v>
      </c>
      <c r="C62" s="564">
        <v>9214.17</v>
      </c>
      <c r="D62" s="560">
        <f t="shared" si="2"/>
        <v>7.1813285457808162E-3</v>
      </c>
      <c r="E62" s="560">
        <f t="shared" si="3"/>
        <v>5.657590428654909E-3</v>
      </c>
    </row>
    <row r="63" spans="1:5" x14ac:dyDescent="0.25">
      <c r="A63" s="562" t="s">
        <v>252</v>
      </c>
      <c r="B63" s="563">
        <v>16.510000000000002</v>
      </c>
      <c r="C63" s="564">
        <v>9135.09</v>
      </c>
      <c r="D63" s="560">
        <f t="shared" si="2"/>
        <v>1.2113870381586872E-2</v>
      </c>
      <c r="E63" s="560">
        <f t="shared" si="3"/>
        <v>8.656729161945851E-3</v>
      </c>
    </row>
    <row r="64" spans="1:5" x14ac:dyDescent="0.25">
      <c r="A64" s="562" t="s">
        <v>253</v>
      </c>
      <c r="B64" s="563">
        <v>16.71</v>
      </c>
      <c r="C64" s="564">
        <v>9144.7199999999993</v>
      </c>
      <c r="D64" s="560">
        <f t="shared" si="2"/>
        <v>-1.1968880909634907E-2</v>
      </c>
      <c r="E64" s="560">
        <f t="shared" si="3"/>
        <v>-1.0530666876623013E-3</v>
      </c>
    </row>
    <row r="65" spans="1:5" x14ac:dyDescent="0.25">
      <c r="A65" s="562" t="s">
        <v>254</v>
      </c>
      <c r="B65" s="563">
        <v>16.61</v>
      </c>
      <c r="C65" s="564">
        <v>9167.8799999999992</v>
      </c>
      <c r="D65" s="560">
        <f t="shared" si="2"/>
        <v>6.0204695966286229E-3</v>
      </c>
      <c r="E65" s="560">
        <f t="shared" si="3"/>
        <v>-2.5262110760611895E-3</v>
      </c>
    </row>
    <row r="66" spans="1:5" x14ac:dyDescent="0.25">
      <c r="A66" s="562" t="s">
        <v>255</v>
      </c>
      <c r="B66" s="563">
        <v>16.48</v>
      </c>
      <c r="C66" s="564">
        <v>9112.69</v>
      </c>
      <c r="D66" s="560">
        <f t="shared" si="2"/>
        <v>7.888349514563046E-3</v>
      </c>
      <c r="E66" s="560">
        <f t="shared" si="3"/>
        <v>6.0563894964054182E-3</v>
      </c>
    </row>
    <row r="67" spans="1:5" x14ac:dyDescent="0.25">
      <c r="A67" s="562" t="s">
        <v>256</v>
      </c>
      <c r="B67" s="563">
        <v>16.45</v>
      </c>
      <c r="C67" s="564">
        <v>9143.5499999999993</v>
      </c>
      <c r="D67" s="560">
        <f t="shared" si="2"/>
        <v>1.8237082066869994E-3</v>
      </c>
      <c r="E67" s="560">
        <f t="shared" si="3"/>
        <v>-3.375056733981743E-3</v>
      </c>
    </row>
    <row r="68" spans="1:5" x14ac:dyDescent="0.25">
      <c r="A68" s="562" t="s">
        <v>257</v>
      </c>
      <c r="B68" s="563">
        <v>16.53</v>
      </c>
      <c r="C68" s="564">
        <v>9067.27</v>
      </c>
      <c r="D68" s="560">
        <f t="shared" si="2"/>
        <v>-4.8396854204477823E-3</v>
      </c>
      <c r="E68" s="560">
        <f t="shared" si="3"/>
        <v>8.4126754800506465E-3</v>
      </c>
    </row>
    <row r="69" spans="1:5" x14ac:dyDescent="0.25">
      <c r="A69" s="562" t="s">
        <v>258</v>
      </c>
      <c r="B69" s="563">
        <v>16.5</v>
      </c>
      <c r="C69" s="564">
        <v>8989.26</v>
      </c>
      <c r="D69" s="560">
        <f t="shared" si="2"/>
        <v>1.8181818181818871E-3</v>
      </c>
      <c r="E69" s="560">
        <f t="shared" si="3"/>
        <v>8.6781336839740104E-3</v>
      </c>
    </row>
    <row r="70" spans="1:5" x14ac:dyDescent="0.25">
      <c r="A70" s="562" t="s">
        <v>259</v>
      </c>
      <c r="B70" s="563">
        <v>16.47</v>
      </c>
      <c r="C70" s="564">
        <v>8892.02</v>
      </c>
      <c r="D70" s="560">
        <f t="shared" si="2"/>
        <v>1.8214936247723825E-3</v>
      </c>
      <c r="E70" s="560">
        <f t="shared" si="3"/>
        <v>1.0935647918020852E-2</v>
      </c>
    </row>
    <row r="71" spans="1:5" x14ac:dyDescent="0.25">
      <c r="A71" s="562" t="s">
        <v>260</v>
      </c>
      <c r="B71" s="563">
        <v>16.579999999999998</v>
      </c>
      <c r="C71" s="564">
        <v>9018.5400000000009</v>
      </c>
      <c r="D71" s="560">
        <f t="shared" si="2"/>
        <v>-6.6344993968636577E-3</v>
      </c>
      <c r="E71" s="560">
        <f t="shared" si="3"/>
        <v>-1.4028878288503507E-2</v>
      </c>
    </row>
    <row r="72" spans="1:5" x14ac:dyDescent="0.25">
      <c r="A72" s="562" t="s">
        <v>261</v>
      </c>
      <c r="B72" s="563">
        <v>16.57</v>
      </c>
      <c r="C72" s="564">
        <v>8995.9699999999993</v>
      </c>
      <c r="D72" s="560">
        <f t="shared" si="2"/>
        <v>6.0350030175003076E-4</v>
      </c>
      <c r="E72" s="560">
        <f t="shared" si="3"/>
        <v>2.5089012079855233E-3</v>
      </c>
    </row>
    <row r="73" spans="1:5" x14ac:dyDescent="0.25">
      <c r="A73" s="562" t="s">
        <v>262</v>
      </c>
      <c r="B73" s="563">
        <v>16.73</v>
      </c>
      <c r="C73" s="564">
        <v>9255.7000000000007</v>
      </c>
      <c r="D73" s="560">
        <f t="shared" si="2"/>
        <v>-9.5636580992229606E-3</v>
      </c>
      <c r="E73" s="560">
        <f t="shared" si="3"/>
        <v>-2.8061626889376422E-2</v>
      </c>
    </row>
    <row r="74" spans="1:5" x14ac:dyDescent="0.25">
      <c r="A74" s="562" t="s">
        <v>263</v>
      </c>
      <c r="B74" s="563">
        <v>16.73</v>
      </c>
      <c r="C74" s="564">
        <v>9399.6299999999992</v>
      </c>
      <c r="D74" s="560">
        <f t="shared" si="2"/>
        <v>0</v>
      </c>
      <c r="E74" s="560">
        <f t="shared" si="3"/>
        <v>-1.531230484604165E-2</v>
      </c>
    </row>
    <row r="75" spans="1:5" x14ac:dyDescent="0.25">
      <c r="A75" s="562" t="s">
        <v>264</v>
      </c>
      <c r="B75" s="563">
        <v>16.54</v>
      </c>
      <c r="C75" s="564">
        <v>9337.89</v>
      </c>
      <c r="D75" s="560">
        <f t="shared" si="2"/>
        <v>1.1487303506650622E-2</v>
      </c>
      <c r="E75" s="560">
        <f t="shared" si="3"/>
        <v>6.6117720384369257E-3</v>
      </c>
    </row>
    <row r="76" spans="1:5" x14ac:dyDescent="0.25">
      <c r="A76" s="562" t="s">
        <v>265</v>
      </c>
      <c r="B76" s="563">
        <v>16.649999999999999</v>
      </c>
      <c r="C76" s="564">
        <v>9263.69</v>
      </c>
      <c r="D76" s="560">
        <f t="shared" si="2"/>
        <v>-6.6066066066065732E-3</v>
      </c>
      <c r="E76" s="560">
        <f t="shared" si="3"/>
        <v>8.0097671662155041E-3</v>
      </c>
    </row>
    <row r="77" spans="1:5" x14ac:dyDescent="0.25">
      <c r="A77" s="562" t="s">
        <v>266</v>
      </c>
      <c r="B77" s="563">
        <v>16.61</v>
      </c>
      <c r="C77" s="564">
        <v>9331.3700000000008</v>
      </c>
      <c r="D77" s="560">
        <f t="shared" si="2"/>
        <v>2.4081878386513636E-3</v>
      </c>
      <c r="E77" s="560">
        <f t="shared" si="3"/>
        <v>-7.2529542821686728E-3</v>
      </c>
    </row>
    <row r="78" spans="1:5" x14ac:dyDescent="0.25">
      <c r="A78" s="562" t="s">
        <v>267</v>
      </c>
      <c r="B78" s="563">
        <v>16.46</v>
      </c>
      <c r="C78" s="564">
        <v>9189.43</v>
      </c>
      <c r="D78" s="560">
        <f t="shared" si="2"/>
        <v>9.1130012150667412E-3</v>
      </c>
      <c r="E78" s="560">
        <f t="shared" si="3"/>
        <v>1.5446006988463976E-2</v>
      </c>
    </row>
    <row r="79" spans="1:5" x14ac:dyDescent="0.25">
      <c r="A79" s="562" t="s">
        <v>268</v>
      </c>
      <c r="B79" s="563">
        <v>16.52</v>
      </c>
      <c r="C79" s="564">
        <v>9255.48</v>
      </c>
      <c r="D79" s="560">
        <f t="shared" si="2"/>
        <v>-3.6319612590798257E-3</v>
      </c>
      <c r="E79" s="560">
        <f t="shared" si="3"/>
        <v>-7.1363127574149881E-3</v>
      </c>
    </row>
    <row r="80" spans="1:5" x14ac:dyDescent="0.25">
      <c r="A80" s="562" t="s">
        <v>269</v>
      </c>
      <c r="B80" s="563">
        <v>16.59</v>
      </c>
      <c r="C80" s="564">
        <v>9358</v>
      </c>
      <c r="D80" s="560">
        <f t="shared" si="2"/>
        <v>-4.2194092827004389E-3</v>
      </c>
      <c r="E80" s="560">
        <f t="shared" si="3"/>
        <v>-1.0955332335969271E-2</v>
      </c>
    </row>
    <row r="81" spans="1:5" x14ac:dyDescent="0.25">
      <c r="A81" s="562" t="s">
        <v>270</v>
      </c>
      <c r="B81" s="563">
        <v>16.329999999999998</v>
      </c>
      <c r="C81" s="564">
        <v>9355.41</v>
      </c>
      <c r="D81" s="560">
        <f t="shared" si="2"/>
        <v>1.5921616656460601E-2</v>
      </c>
      <c r="E81" s="560">
        <f t="shared" si="3"/>
        <v>2.7684516231786158E-4</v>
      </c>
    </row>
    <row r="82" spans="1:5" x14ac:dyDescent="0.25">
      <c r="A82" s="562" t="s">
        <v>271</v>
      </c>
      <c r="B82" s="563">
        <v>16.170000000000002</v>
      </c>
      <c r="C82" s="564">
        <v>9260.48</v>
      </c>
      <c r="D82" s="560">
        <f t="shared" si="2"/>
        <v>9.8948670377239679E-3</v>
      </c>
      <c r="E82" s="560">
        <f t="shared" si="3"/>
        <v>1.0251088496492654E-2</v>
      </c>
    </row>
    <row r="83" spans="1:5" x14ac:dyDescent="0.25">
      <c r="A83" s="562" t="s">
        <v>272</v>
      </c>
      <c r="B83" s="563">
        <v>16.12</v>
      </c>
      <c r="C83" s="564">
        <v>9178.41</v>
      </c>
      <c r="D83" s="560">
        <f t="shared" si="2"/>
        <v>3.1017369727047587E-3</v>
      </c>
      <c r="E83" s="560">
        <f t="shared" si="3"/>
        <v>8.9416358606773626E-3</v>
      </c>
    </row>
    <row r="84" spans="1:5" x14ac:dyDescent="0.25">
      <c r="A84" s="562" t="s">
        <v>273</v>
      </c>
      <c r="B84" s="563">
        <v>16.41</v>
      </c>
      <c r="C84" s="564">
        <v>9320.08</v>
      </c>
      <c r="D84" s="560">
        <f t="shared" si="2"/>
        <v>-1.7672151127361313E-2</v>
      </c>
      <c r="E84" s="560">
        <f t="shared" si="3"/>
        <v>-1.5200513300315027E-2</v>
      </c>
    </row>
    <row r="85" spans="1:5" x14ac:dyDescent="0.25">
      <c r="A85" s="562" t="s">
        <v>274</v>
      </c>
      <c r="B85" s="563">
        <v>16.23</v>
      </c>
      <c r="C85" s="564">
        <v>9357.08</v>
      </c>
      <c r="D85" s="560">
        <f t="shared" si="2"/>
        <v>1.1090573012938984E-2</v>
      </c>
      <c r="E85" s="560">
        <f t="shared" si="3"/>
        <v>-3.9542250360155087E-3</v>
      </c>
    </row>
    <row r="86" spans="1:5" x14ac:dyDescent="0.25">
      <c r="A86" s="562" t="s">
        <v>275</v>
      </c>
      <c r="B86" s="563">
        <v>16.079999999999998</v>
      </c>
      <c r="C86" s="564">
        <v>9302.27</v>
      </c>
      <c r="D86" s="560">
        <f t="shared" si="2"/>
        <v>9.3283582089553566E-3</v>
      </c>
      <c r="E86" s="560">
        <f t="shared" si="3"/>
        <v>5.892110205358422E-3</v>
      </c>
    </row>
    <row r="87" spans="1:5" x14ac:dyDescent="0.25">
      <c r="A87" s="562" t="s">
        <v>276</v>
      </c>
      <c r="B87" s="563">
        <v>16.170000000000002</v>
      </c>
      <c r="C87" s="564">
        <v>9460.0499999999993</v>
      </c>
      <c r="D87" s="560">
        <f t="shared" si="2"/>
        <v>-5.5658627087200622E-3</v>
      </c>
      <c r="E87" s="560">
        <f t="shared" si="3"/>
        <v>-1.6678558781401669E-2</v>
      </c>
    </row>
    <row r="88" spans="1:5" x14ac:dyDescent="0.25">
      <c r="A88" s="562" t="s">
        <v>277</v>
      </c>
      <c r="B88" s="563">
        <v>15.98</v>
      </c>
      <c r="C88" s="564">
        <v>9422.49</v>
      </c>
      <c r="D88" s="560">
        <f t="shared" si="2"/>
        <v>1.1889862327909968E-2</v>
      </c>
      <c r="E88" s="560">
        <f t="shared" si="3"/>
        <v>3.9862074674528172E-3</v>
      </c>
    </row>
    <row r="89" spans="1:5" x14ac:dyDescent="0.25">
      <c r="A89" s="562" t="s">
        <v>278</v>
      </c>
      <c r="B89" s="563">
        <v>16.04</v>
      </c>
      <c r="C89" s="564">
        <v>9494.16</v>
      </c>
      <c r="D89" s="560">
        <f t="shared" si="2"/>
        <v>-3.7406483790522896E-3</v>
      </c>
      <c r="E89" s="560">
        <f t="shared" si="3"/>
        <v>-7.5488510831922019E-3</v>
      </c>
    </row>
    <row r="90" spans="1:5" x14ac:dyDescent="0.25">
      <c r="A90" s="562" t="s">
        <v>279</v>
      </c>
      <c r="B90" s="563">
        <v>15.85</v>
      </c>
      <c r="C90" s="564">
        <v>9442.23</v>
      </c>
      <c r="D90" s="560">
        <f t="shared" si="2"/>
        <v>1.1987381703470001E-2</v>
      </c>
      <c r="E90" s="560">
        <f t="shared" si="3"/>
        <v>5.4997601202258677E-3</v>
      </c>
    </row>
    <row r="91" spans="1:5" x14ac:dyDescent="0.25">
      <c r="A91" s="562" t="s">
        <v>280</v>
      </c>
      <c r="B91" s="563">
        <v>15.86</v>
      </c>
      <c r="C91" s="564">
        <v>9466.2900000000009</v>
      </c>
      <c r="D91" s="560">
        <f t="shared" si="2"/>
        <v>-6.3051702395963347E-4</v>
      </c>
      <c r="E91" s="560">
        <f t="shared" si="3"/>
        <v>-2.5416504248233795E-3</v>
      </c>
    </row>
    <row r="92" spans="1:5" x14ac:dyDescent="0.25">
      <c r="A92" s="562" t="s">
        <v>281</v>
      </c>
      <c r="B92" s="563">
        <v>16.23</v>
      </c>
      <c r="C92" s="564">
        <v>9508.0400000000009</v>
      </c>
      <c r="D92" s="560">
        <f t="shared" si="2"/>
        <v>-2.2797288971041343E-2</v>
      </c>
      <c r="E92" s="560">
        <f t="shared" si="3"/>
        <v>-4.3910206519955737E-3</v>
      </c>
    </row>
    <row r="93" spans="1:5" x14ac:dyDescent="0.25">
      <c r="A93" s="562" t="s">
        <v>282</v>
      </c>
      <c r="B93" s="563">
        <v>16.510000000000002</v>
      </c>
      <c r="C93" s="564">
        <v>9598.27</v>
      </c>
      <c r="D93" s="560">
        <f t="shared" si="2"/>
        <v>-1.6959418534221751E-2</v>
      </c>
      <c r="E93" s="560">
        <f t="shared" si="3"/>
        <v>-9.4006524092362011E-3</v>
      </c>
    </row>
    <row r="94" spans="1:5" x14ac:dyDescent="0.25">
      <c r="A94" s="562" t="s">
        <v>283</v>
      </c>
      <c r="B94" s="563">
        <v>16.45</v>
      </c>
      <c r="C94" s="564">
        <v>9587.52</v>
      </c>
      <c r="D94" s="560">
        <f t="shared" si="2"/>
        <v>3.6474164133739988E-3</v>
      </c>
      <c r="E94" s="560">
        <f t="shared" si="3"/>
        <v>1.1212492907446347E-3</v>
      </c>
    </row>
    <row r="95" spans="1:5" x14ac:dyDescent="0.25">
      <c r="A95" s="562" t="s">
        <v>284</v>
      </c>
      <c r="B95" s="563">
        <v>16.420000000000002</v>
      </c>
      <c r="C95" s="564">
        <v>9576.41</v>
      </c>
      <c r="D95" s="560">
        <f t="shared" si="2"/>
        <v>1.8270401948841401E-3</v>
      </c>
      <c r="E95" s="560">
        <f t="shared" si="3"/>
        <v>1.1601424751029438E-3</v>
      </c>
    </row>
    <row r="96" spans="1:5" x14ac:dyDescent="0.25">
      <c r="A96" s="562" t="s">
        <v>285</v>
      </c>
      <c r="B96" s="563">
        <v>16.18</v>
      </c>
      <c r="C96" s="564">
        <v>9489.31</v>
      </c>
      <c r="D96" s="560">
        <f t="shared" si="2"/>
        <v>1.4833127317676267E-2</v>
      </c>
      <c r="E96" s="560">
        <f t="shared" si="3"/>
        <v>9.1787495613485457E-3</v>
      </c>
    </row>
    <row r="97" spans="1:5" x14ac:dyDescent="0.25">
      <c r="A97" s="562" t="s">
        <v>286</v>
      </c>
      <c r="B97" s="563">
        <v>15.97</v>
      </c>
      <c r="C97" s="564">
        <v>9551.41</v>
      </c>
      <c r="D97" s="560">
        <f t="shared" si="2"/>
        <v>1.3149655604257925E-2</v>
      </c>
      <c r="E97" s="560">
        <f t="shared" si="3"/>
        <v>-6.5016578704087001E-3</v>
      </c>
    </row>
    <row r="98" spans="1:5" x14ac:dyDescent="0.25">
      <c r="A98" s="562" t="s">
        <v>287</v>
      </c>
      <c r="B98" s="563">
        <v>15.72</v>
      </c>
      <c r="C98" s="564">
        <v>9515.86</v>
      </c>
      <c r="D98" s="560">
        <f t="shared" si="2"/>
        <v>1.5903307888040712E-2</v>
      </c>
      <c r="E98" s="560">
        <f t="shared" si="3"/>
        <v>3.7358683292943854E-3</v>
      </c>
    </row>
    <row r="99" spans="1:5" x14ac:dyDescent="0.25">
      <c r="A99" s="562" t="s">
        <v>288</v>
      </c>
      <c r="B99" s="563">
        <v>15.81</v>
      </c>
      <c r="C99" s="564">
        <v>9437.17</v>
      </c>
      <c r="D99" s="560">
        <f t="shared" si="2"/>
        <v>-5.6925996204933499E-3</v>
      </c>
      <c r="E99" s="560">
        <f t="shared" si="3"/>
        <v>8.3383048095986949E-3</v>
      </c>
    </row>
    <row r="100" spans="1:5" x14ac:dyDescent="0.25">
      <c r="A100" s="562" t="s">
        <v>289</v>
      </c>
      <c r="B100" s="563">
        <v>16.100000000000001</v>
      </c>
      <c r="C100" s="564">
        <v>9442.76</v>
      </c>
      <c r="D100" s="560">
        <f t="shared" si="2"/>
        <v>-1.8012422360248501E-2</v>
      </c>
      <c r="E100" s="560">
        <f t="shared" si="3"/>
        <v>-5.9198793573067045E-4</v>
      </c>
    </row>
    <row r="101" spans="1:5" x14ac:dyDescent="0.25">
      <c r="A101" s="562" t="s">
        <v>290</v>
      </c>
      <c r="B101" s="563">
        <v>15.76</v>
      </c>
      <c r="C101" s="564">
        <v>9409.2199999999993</v>
      </c>
      <c r="D101" s="560">
        <f t="shared" si="2"/>
        <v>2.1573604060913808E-2</v>
      </c>
      <c r="E101" s="560">
        <f t="shared" si="3"/>
        <v>3.5645887756903202E-3</v>
      </c>
    </row>
    <row r="102" spans="1:5" x14ac:dyDescent="0.25">
      <c r="A102" s="562" t="s">
        <v>291</v>
      </c>
      <c r="B102" s="563">
        <v>15.8</v>
      </c>
      <c r="C102" s="564">
        <v>9463.32</v>
      </c>
      <c r="D102" s="560">
        <f t="shared" si="2"/>
        <v>-2.5316455696203113E-3</v>
      </c>
      <c r="E102" s="560">
        <f t="shared" si="3"/>
        <v>-5.7168097454170803E-3</v>
      </c>
    </row>
    <row r="103" spans="1:5" x14ac:dyDescent="0.25">
      <c r="A103" s="562" t="s">
        <v>292</v>
      </c>
      <c r="B103" s="563">
        <v>15.81</v>
      </c>
      <c r="C103" s="564">
        <v>9409.01</v>
      </c>
      <c r="D103" s="560">
        <f t="shared" si="2"/>
        <v>-6.3251106894369297E-4</v>
      </c>
      <c r="E103" s="560">
        <f t="shared" si="3"/>
        <v>5.7721269294005945E-3</v>
      </c>
    </row>
    <row r="104" spans="1:5" x14ac:dyDescent="0.25">
      <c r="A104" s="562" t="s">
        <v>293</v>
      </c>
      <c r="B104" s="563">
        <v>15.68</v>
      </c>
      <c r="C104" s="564">
        <v>9348.9</v>
      </c>
      <c r="D104" s="560">
        <f t="shared" si="2"/>
        <v>8.2908163265306631E-3</v>
      </c>
      <c r="E104" s="560">
        <f t="shared" si="3"/>
        <v>6.4296334328103394E-3</v>
      </c>
    </row>
    <row r="105" spans="1:5" x14ac:dyDescent="0.25">
      <c r="A105" s="562" t="s">
        <v>294</v>
      </c>
      <c r="B105" s="563">
        <v>15.84</v>
      </c>
      <c r="C105" s="564">
        <v>9340.4599999999991</v>
      </c>
      <c r="D105" s="560">
        <f t="shared" si="2"/>
        <v>-1.0101010101010111E-2</v>
      </c>
      <c r="E105" s="560">
        <f t="shared" si="3"/>
        <v>9.0359575438474227E-4</v>
      </c>
    </row>
    <row r="106" spans="1:5" x14ac:dyDescent="0.25">
      <c r="A106" s="562" t="s">
        <v>295</v>
      </c>
      <c r="B106" s="563">
        <v>15.57</v>
      </c>
      <c r="C106" s="564">
        <v>9246.7199999999993</v>
      </c>
      <c r="D106" s="560">
        <f t="shared" si="2"/>
        <v>1.734104046242772E-2</v>
      </c>
      <c r="E106" s="560">
        <f t="shared" si="3"/>
        <v>1.0137648809523787E-2</v>
      </c>
    </row>
    <row r="107" spans="1:5" x14ac:dyDescent="0.25">
      <c r="A107" s="562" t="s">
        <v>296</v>
      </c>
      <c r="B107" s="563">
        <v>15.24</v>
      </c>
      <c r="C107" s="564">
        <v>9175.7800000000007</v>
      </c>
      <c r="D107" s="560">
        <f t="shared" si="2"/>
        <v>2.1653543307086617E-2</v>
      </c>
      <c r="E107" s="560">
        <f t="shared" si="3"/>
        <v>7.7312228497194444E-3</v>
      </c>
    </row>
    <row r="108" spans="1:5" x14ac:dyDescent="0.25">
      <c r="A108" s="562" t="s">
        <v>297</v>
      </c>
      <c r="B108" s="563">
        <v>15.34</v>
      </c>
      <c r="C108" s="564">
        <v>9276.8799999999992</v>
      </c>
      <c r="D108" s="560">
        <f t="shared" si="2"/>
        <v>-6.5189048239895466E-3</v>
      </c>
      <c r="E108" s="560">
        <f t="shared" si="3"/>
        <v>-1.0898060554841557E-2</v>
      </c>
    </row>
    <row r="109" spans="1:5" x14ac:dyDescent="0.25">
      <c r="A109" s="562" t="s">
        <v>298</v>
      </c>
      <c r="B109" s="563">
        <v>15.46</v>
      </c>
      <c r="C109" s="564">
        <v>9245.2199999999993</v>
      </c>
      <c r="D109" s="560">
        <f t="shared" si="2"/>
        <v>-7.7619663648124827E-3</v>
      </c>
      <c r="E109" s="560">
        <f t="shared" si="3"/>
        <v>3.4244723219133623E-3</v>
      </c>
    </row>
    <row r="110" spans="1:5" x14ac:dyDescent="0.25">
      <c r="A110" s="562" t="s">
        <v>299</v>
      </c>
      <c r="B110" s="563">
        <v>15.66</v>
      </c>
      <c r="C110" s="564">
        <v>9169.9</v>
      </c>
      <c r="D110" s="560">
        <f t="shared" si="2"/>
        <v>-1.2771392081736863E-2</v>
      </c>
      <c r="E110" s="560">
        <f t="shared" si="3"/>
        <v>8.2138300308618097E-3</v>
      </c>
    </row>
    <row r="111" spans="1:5" x14ac:dyDescent="0.25">
      <c r="A111" s="562" t="s">
        <v>300</v>
      </c>
      <c r="B111" s="563">
        <v>15.35</v>
      </c>
      <c r="C111" s="564">
        <v>9188.86</v>
      </c>
      <c r="D111" s="560">
        <f t="shared" si="2"/>
        <v>2.0195439739413713E-2</v>
      </c>
      <c r="E111" s="560">
        <f t="shared" si="3"/>
        <v>-2.0633680347726426E-3</v>
      </c>
    </row>
    <row r="112" spans="1:5" x14ac:dyDescent="0.25">
      <c r="A112" s="562" t="s">
        <v>301</v>
      </c>
      <c r="B112" s="563">
        <v>15.05</v>
      </c>
      <c r="C112" s="564">
        <v>9146.4500000000007</v>
      </c>
      <c r="D112" s="560">
        <f t="shared" si="2"/>
        <v>1.9933554817275677E-2</v>
      </c>
      <c r="E112" s="560">
        <f t="shared" si="3"/>
        <v>4.6367716436431462E-3</v>
      </c>
    </row>
    <row r="113" spans="1:5" x14ac:dyDescent="0.25">
      <c r="A113" s="562" t="s">
        <v>302</v>
      </c>
      <c r="B113" s="563">
        <v>14.78</v>
      </c>
      <c r="C113" s="564">
        <v>9113.7999999999993</v>
      </c>
      <c r="D113" s="560">
        <f t="shared" si="2"/>
        <v>1.8267929634641498E-2</v>
      </c>
      <c r="E113" s="560">
        <f t="shared" si="3"/>
        <v>3.5824793170797535E-3</v>
      </c>
    </row>
    <row r="114" spans="1:5" x14ac:dyDescent="0.25">
      <c r="A114" s="562" t="s">
        <v>303</v>
      </c>
      <c r="B114" s="563">
        <v>14.9</v>
      </c>
      <c r="C114" s="564">
        <v>9019.9</v>
      </c>
      <c r="D114" s="560">
        <f t="shared" si="2"/>
        <v>-8.053691275167852E-3</v>
      </c>
      <c r="E114" s="560">
        <f t="shared" si="3"/>
        <v>1.0410314970232447E-2</v>
      </c>
    </row>
    <row r="115" spans="1:5" x14ac:dyDescent="0.25">
      <c r="A115" s="562" t="s">
        <v>304</v>
      </c>
      <c r="B115" s="563">
        <v>14.87</v>
      </c>
      <c r="C115" s="564">
        <v>8994.1200000000008</v>
      </c>
      <c r="D115" s="560">
        <f t="shared" si="2"/>
        <v>2.01748486886356E-3</v>
      </c>
      <c r="E115" s="560">
        <f t="shared" si="3"/>
        <v>2.8663171049528842E-3</v>
      </c>
    </row>
    <row r="116" spans="1:5" x14ac:dyDescent="0.25">
      <c r="A116" s="562" t="s">
        <v>305</v>
      </c>
      <c r="B116" s="563">
        <v>14.89</v>
      </c>
      <c r="C116" s="564">
        <v>8921.18</v>
      </c>
      <c r="D116" s="560">
        <f t="shared" si="2"/>
        <v>-1.3431833445266186E-3</v>
      </c>
      <c r="E116" s="560">
        <f t="shared" si="3"/>
        <v>8.176048459957147E-3</v>
      </c>
    </row>
    <row r="117" spans="1:5" x14ac:dyDescent="0.25">
      <c r="A117" s="562" t="s">
        <v>306</v>
      </c>
      <c r="B117" s="563">
        <v>14.62</v>
      </c>
      <c r="C117" s="564">
        <v>8948.35</v>
      </c>
      <c r="D117" s="560">
        <f t="shared" si="2"/>
        <v>1.8467852257182036E-2</v>
      </c>
      <c r="E117" s="560">
        <f t="shared" si="3"/>
        <v>-3.0363139573217489E-3</v>
      </c>
    </row>
    <row r="118" spans="1:5" x14ac:dyDescent="0.25">
      <c r="A118" s="562" t="s">
        <v>307</v>
      </c>
      <c r="B118" s="563">
        <v>14.45</v>
      </c>
      <c r="C118" s="564">
        <v>9086.42</v>
      </c>
      <c r="D118" s="560">
        <f t="shared" si="2"/>
        <v>1.1764705882352938E-2</v>
      </c>
      <c r="E118" s="560">
        <f t="shared" si="3"/>
        <v>-1.5195203391434658E-2</v>
      </c>
    </row>
    <row r="119" spans="1:5" x14ac:dyDescent="0.25">
      <c r="A119" s="562" t="s">
        <v>308</v>
      </c>
      <c r="B119" s="563">
        <v>14.46</v>
      </c>
      <c r="C119" s="564">
        <v>8953.94</v>
      </c>
      <c r="D119" s="560">
        <f t="shared" ref="D119:D182" si="4">(B118-B119)/B119</f>
        <v>-6.9156293222694067E-4</v>
      </c>
      <c r="E119" s="560">
        <f t="shared" ref="E119:E182" si="5">(C118-C119)/C119</f>
        <v>1.479572121323122E-2</v>
      </c>
    </row>
    <row r="120" spans="1:5" x14ac:dyDescent="0.25">
      <c r="A120" s="562" t="s">
        <v>309</v>
      </c>
      <c r="B120" s="563">
        <v>14.85</v>
      </c>
      <c r="C120" s="564">
        <v>9188.25</v>
      </c>
      <c r="D120" s="560">
        <f t="shared" si="4"/>
        <v>-2.6262626262626182E-2</v>
      </c>
      <c r="E120" s="560">
        <f t="shared" si="5"/>
        <v>-2.5501047533534622E-2</v>
      </c>
    </row>
    <row r="121" spans="1:5" x14ac:dyDescent="0.25">
      <c r="A121" s="562" t="s">
        <v>310</v>
      </c>
      <c r="B121" s="563">
        <v>14.78</v>
      </c>
      <c r="C121" s="564">
        <v>9234.02</v>
      </c>
      <c r="D121" s="560">
        <f t="shared" si="4"/>
        <v>4.7361299052774211E-3</v>
      </c>
      <c r="E121" s="560">
        <f t="shared" si="5"/>
        <v>-4.9566710923303649E-3</v>
      </c>
    </row>
    <row r="122" spans="1:5" x14ac:dyDescent="0.25">
      <c r="A122" s="562" t="s">
        <v>311</v>
      </c>
      <c r="B122" s="563">
        <v>14.93</v>
      </c>
      <c r="C122" s="564">
        <v>9189.08</v>
      </c>
      <c r="D122" s="560">
        <f t="shared" si="4"/>
        <v>-1.0046885465505717E-2</v>
      </c>
      <c r="E122" s="560">
        <f t="shared" si="5"/>
        <v>4.8905875234518045E-3</v>
      </c>
    </row>
    <row r="123" spans="1:5" x14ac:dyDescent="0.25">
      <c r="A123" s="562" t="s">
        <v>312</v>
      </c>
      <c r="B123" s="563">
        <v>14.93</v>
      </c>
      <c r="C123" s="564">
        <v>9088.3799999999992</v>
      </c>
      <c r="D123" s="560">
        <f t="shared" si="4"/>
        <v>0</v>
      </c>
      <c r="E123" s="560">
        <f t="shared" si="5"/>
        <v>1.1080082478945723E-2</v>
      </c>
    </row>
    <row r="124" spans="1:5" x14ac:dyDescent="0.25">
      <c r="A124" s="562" t="s">
        <v>313</v>
      </c>
      <c r="B124" s="563">
        <v>14.95</v>
      </c>
      <c r="C124" s="564">
        <v>9051.57</v>
      </c>
      <c r="D124" s="560">
        <f t="shared" si="4"/>
        <v>-1.3377926421404398E-3</v>
      </c>
      <c r="E124" s="560">
        <f t="shared" si="5"/>
        <v>4.0666978214828472E-3</v>
      </c>
    </row>
    <row r="125" spans="1:5" x14ac:dyDescent="0.25">
      <c r="A125" s="562" t="s">
        <v>314</v>
      </c>
      <c r="B125" s="563">
        <v>14.67</v>
      </c>
      <c r="C125" s="564">
        <v>9000.24</v>
      </c>
      <c r="D125" s="560">
        <f t="shared" si="4"/>
        <v>1.9086571233810454E-2</v>
      </c>
      <c r="E125" s="560">
        <f t="shared" si="5"/>
        <v>5.7031812485000321E-3</v>
      </c>
    </row>
    <row r="126" spans="1:5" x14ac:dyDescent="0.25">
      <c r="A126" s="562" t="s">
        <v>315</v>
      </c>
      <c r="B126" s="563">
        <v>14.63</v>
      </c>
      <c r="C126" s="564">
        <v>9027.83</v>
      </c>
      <c r="D126" s="560">
        <f t="shared" si="4"/>
        <v>2.7341079972658337E-3</v>
      </c>
      <c r="E126" s="560">
        <f t="shared" si="5"/>
        <v>-3.0561053985287876E-3</v>
      </c>
    </row>
    <row r="127" spans="1:5" x14ac:dyDescent="0.25">
      <c r="A127" s="562" t="s">
        <v>316</v>
      </c>
      <c r="B127" s="563">
        <v>14.6</v>
      </c>
      <c r="C127" s="564">
        <v>8983.39</v>
      </c>
      <c r="D127" s="560">
        <f t="shared" si="4"/>
        <v>2.0547945205480231E-3</v>
      </c>
      <c r="E127" s="560">
        <f t="shared" si="5"/>
        <v>4.9469075705274416E-3</v>
      </c>
    </row>
    <row r="128" spans="1:5" x14ac:dyDescent="0.25">
      <c r="A128" s="562" t="s">
        <v>317</v>
      </c>
      <c r="B128" s="563">
        <v>14.61</v>
      </c>
      <c r="C128" s="564">
        <v>9092.89</v>
      </c>
      <c r="D128" s="560">
        <f t="shared" si="4"/>
        <v>-6.8446269678301079E-4</v>
      </c>
      <c r="E128" s="560">
        <f t="shared" si="5"/>
        <v>-1.2042375966276948E-2</v>
      </c>
    </row>
    <row r="129" spans="1:5" x14ac:dyDescent="0.25">
      <c r="A129" s="562" t="s">
        <v>318</v>
      </c>
      <c r="B129" s="563">
        <v>14.68</v>
      </c>
      <c r="C129" s="564">
        <v>9107.76</v>
      </c>
      <c r="D129" s="560">
        <f t="shared" si="4"/>
        <v>-4.7683923705722263E-3</v>
      </c>
      <c r="E129" s="560">
        <f t="shared" si="5"/>
        <v>-1.6326736760741171E-3</v>
      </c>
    </row>
    <row r="130" spans="1:5" x14ac:dyDescent="0.25">
      <c r="A130" s="562" t="s">
        <v>319</v>
      </c>
      <c r="B130" s="563">
        <v>14.94</v>
      </c>
      <c r="C130" s="564">
        <v>9107.0400000000009</v>
      </c>
      <c r="D130" s="560">
        <f t="shared" si="4"/>
        <v>-1.7402945113788475E-2</v>
      </c>
      <c r="E130" s="560">
        <f t="shared" si="5"/>
        <v>7.9059716439078463E-5</v>
      </c>
    </row>
    <row r="131" spans="1:5" x14ac:dyDescent="0.25">
      <c r="A131" s="562" t="s">
        <v>320</v>
      </c>
      <c r="B131" s="563">
        <v>14.91</v>
      </c>
      <c r="C131" s="564">
        <v>9070.44</v>
      </c>
      <c r="D131" s="560">
        <f t="shared" si="4"/>
        <v>2.0120724346076031E-3</v>
      </c>
      <c r="E131" s="560">
        <f t="shared" si="5"/>
        <v>4.0350853982828137E-3</v>
      </c>
    </row>
    <row r="132" spans="1:5" x14ac:dyDescent="0.25">
      <c r="A132" s="562" t="s">
        <v>321</v>
      </c>
      <c r="B132" s="563">
        <v>15</v>
      </c>
      <c r="C132" s="564">
        <v>9083.7000000000007</v>
      </c>
      <c r="D132" s="560">
        <f t="shared" si="4"/>
        <v>-5.9999999999999906E-3</v>
      </c>
      <c r="E132" s="560">
        <f t="shared" si="5"/>
        <v>-1.4597575877671233E-3</v>
      </c>
    </row>
    <row r="133" spans="1:5" x14ac:dyDescent="0.25">
      <c r="A133" s="562" t="s">
        <v>322</v>
      </c>
      <c r="B133" s="563">
        <v>15.04</v>
      </c>
      <c r="C133" s="564">
        <v>9022.9599999999991</v>
      </c>
      <c r="D133" s="560">
        <f t="shared" si="4"/>
        <v>-2.6595744680850499E-3</v>
      </c>
      <c r="E133" s="560">
        <f t="shared" si="5"/>
        <v>6.7317155345919307E-3</v>
      </c>
    </row>
    <row r="134" spans="1:5" x14ac:dyDescent="0.25">
      <c r="A134" s="562" t="s">
        <v>323</v>
      </c>
      <c r="B134" s="563">
        <v>14.5</v>
      </c>
      <c r="C134" s="564">
        <v>9065.7800000000007</v>
      </c>
      <c r="D134" s="560">
        <f t="shared" si="4"/>
        <v>3.7241379310344769E-2</v>
      </c>
      <c r="E134" s="560">
        <f t="shared" si="5"/>
        <v>-4.7232560243025447E-3</v>
      </c>
    </row>
    <row r="135" spans="1:5" x14ac:dyDescent="0.25">
      <c r="A135" s="562" t="s">
        <v>324</v>
      </c>
      <c r="B135" s="563">
        <v>14.72</v>
      </c>
      <c r="C135" s="564">
        <v>9009.66</v>
      </c>
      <c r="D135" s="560">
        <f t="shared" si="4"/>
        <v>-1.4945652173913086E-2</v>
      </c>
      <c r="E135" s="560">
        <f t="shared" si="5"/>
        <v>6.2288699018609806E-3</v>
      </c>
    </row>
    <row r="136" spans="1:5" x14ac:dyDescent="0.25">
      <c r="A136" s="562" t="s">
        <v>325</v>
      </c>
      <c r="B136" s="563">
        <v>14.75</v>
      </c>
      <c r="C136" s="564">
        <v>9081.09</v>
      </c>
      <c r="D136" s="560">
        <f t="shared" si="4"/>
        <v>-2.0338983050847024E-3</v>
      </c>
      <c r="E136" s="560">
        <f t="shared" si="5"/>
        <v>-7.8657958460933968E-3</v>
      </c>
    </row>
    <row r="137" spans="1:5" x14ac:dyDescent="0.25">
      <c r="A137" s="562" t="s">
        <v>326</v>
      </c>
      <c r="B137" s="563">
        <v>14.77</v>
      </c>
      <c r="C137" s="564">
        <v>9017.66</v>
      </c>
      <c r="D137" s="560">
        <f t="shared" si="4"/>
        <v>-1.3540961408259698E-3</v>
      </c>
      <c r="E137" s="560">
        <f t="shared" si="5"/>
        <v>7.0339755546339399E-3</v>
      </c>
    </row>
    <row r="138" spans="1:5" x14ac:dyDescent="0.25">
      <c r="A138" s="562" t="s">
        <v>327</v>
      </c>
      <c r="B138" s="563">
        <v>14.94</v>
      </c>
      <c r="C138" s="564">
        <v>9045.44</v>
      </c>
      <c r="D138" s="560">
        <f t="shared" si="4"/>
        <v>-1.1378848728246314E-2</v>
      </c>
      <c r="E138" s="560">
        <f t="shared" si="5"/>
        <v>-3.0711607174444418E-3</v>
      </c>
    </row>
    <row r="139" spans="1:5" x14ac:dyDescent="0.25">
      <c r="A139" s="562" t="s">
        <v>328</v>
      </c>
      <c r="B139" s="563">
        <v>15.04</v>
      </c>
      <c r="C139" s="564">
        <v>9116.6200000000008</v>
      </c>
      <c r="D139" s="560">
        <f t="shared" si="4"/>
        <v>-6.6489361702127426E-3</v>
      </c>
      <c r="E139" s="560">
        <f t="shared" si="5"/>
        <v>-7.8077182113546776E-3</v>
      </c>
    </row>
    <row r="140" spans="1:5" x14ac:dyDescent="0.25">
      <c r="A140" s="562" t="s">
        <v>329</v>
      </c>
      <c r="B140" s="563">
        <v>14.93</v>
      </c>
      <c r="C140" s="564">
        <v>9127.9599999999991</v>
      </c>
      <c r="D140" s="560">
        <f t="shared" si="4"/>
        <v>7.3677160080374707E-3</v>
      </c>
      <c r="E140" s="560">
        <f t="shared" si="5"/>
        <v>-1.2423367324131927E-3</v>
      </c>
    </row>
    <row r="141" spans="1:5" x14ac:dyDescent="0.25">
      <c r="A141" s="562" t="s">
        <v>330</v>
      </c>
      <c r="B141" s="563">
        <v>15.24</v>
      </c>
      <c r="C141" s="564">
        <v>9057.02</v>
      </c>
      <c r="D141" s="560">
        <f t="shared" si="4"/>
        <v>-2.0341207349081396E-2</v>
      </c>
      <c r="E141" s="560">
        <f t="shared" si="5"/>
        <v>7.8325983601668855E-3</v>
      </c>
    </row>
    <row r="142" spans="1:5" x14ac:dyDescent="0.25">
      <c r="A142" s="562" t="s">
        <v>331</v>
      </c>
      <c r="B142" s="563">
        <v>15.25</v>
      </c>
      <c r="C142" s="564">
        <v>9059.9599999999991</v>
      </c>
      <c r="D142" s="560">
        <f t="shared" si="4"/>
        <v>-6.557377049180188E-4</v>
      </c>
      <c r="E142" s="560">
        <f t="shared" si="5"/>
        <v>-3.2450474395015987E-4</v>
      </c>
    </row>
    <row r="143" spans="1:5" x14ac:dyDescent="0.25">
      <c r="A143" s="562" t="s">
        <v>332</v>
      </c>
      <c r="B143" s="563">
        <v>15.25</v>
      </c>
      <c r="C143" s="564">
        <v>9082.24</v>
      </c>
      <c r="D143" s="560">
        <f t="shared" si="4"/>
        <v>0</v>
      </c>
      <c r="E143" s="560">
        <f t="shared" si="5"/>
        <v>-2.4531393136495681E-3</v>
      </c>
    </row>
    <row r="144" spans="1:5" x14ac:dyDescent="0.25">
      <c r="A144" s="562" t="s">
        <v>333</v>
      </c>
      <c r="B144" s="563">
        <v>15.37</v>
      </c>
      <c r="C144" s="564">
        <v>9054.44</v>
      </c>
      <c r="D144" s="560">
        <f t="shared" si="4"/>
        <v>-7.807417046193834E-3</v>
      </c>
      <c r="E144" s="560">
        <f t="shared" si="5"/>
        <v>3.0703168832085996E-3</v>
      </c>
    </row>
    <row r="145" spans="1:5" x14ac:dyDescent="0.25">
      <c r="A145" s="562" t="s">
        <v>334</v>
      </c>
      <c r="B145" s="563">
        <v>15.55</v>
      </c>
      <c r="C145" s="564">
        <v>9013.43</v>
      </c>
      <c r="D145" s="560">
        <f t="shared" si="4"/>
        <v>-1.1575562700964725E-2</v>
      </c>
      <c r="E145" s="560">
        <f t="shared" si="5"/>
        <v>4.5498772387426558E-3</v>
      </c>
    </row>
    <row r="146" spans="1:5" x14ac:dyDescent="0.25">
      <c r="A146" s="562" t="s">
        <v>335</v>
      </c>
      <c r="B146" s="563">
        <v>15.47</v>
      </c>
      <c r="C146" s="564">
        <v>8996.9699999999993</v>
      </c>
      <c r="D146" s="560">
        <f t="shared" si="4"/>
        <v>5.1712992889463519E-3</v>
      </c>
      <c r="E146" s="560">
        <f t="shared" si="5"/>
        <v>1.8295048221791278E-3</v>
      </c>
    </row>
    <row r="147" spans="1:5" x14ac:dyDescent="0.25">
      <c r="A147" s="562" t="s">
        <v>336</v>
      </c>
      <c r="B147" s="563">
        <v>15.26</v>
      </c>
      <c r="C147" s="564">
        <v>8978.09</v>
      </c>
      <c r="D147" s="560">
        <f t="shared" si="4"/>
        <v>1.3761467889908313E-2</v>
      </c>
      <c r="E147" s="560">
        <f t="shared" si="5"/>
        <v>2.1028971640960604E-3</v>
      </c>
    </row>
    <row r="148" spans="1:5" x14ac:dyDescent="0.25">
      <c r="A148" s="562" t="s">
        <v>337</v>
      </c>
      <c r="B148" s="563">
        <v>14.39</v>
      </c>
      <c r="C148" s="564">
        <v>8901.0400000000009</v>
      </c>
      <c r="D148" s="560">
        <f t="shared" si="4"/>
        <v>6.0458651841556577E-2</v>
      </c>
      <c r="E148" s="560">
        <f t="shared" si="5"/>
        <v>8.6562918490422757E-3</v>
      </c>
    </row>
    <row r="149" spans="1:5" x14ac:dyDescent="0.25">
      <c r="A149" s="562" t="s">
        <v>338</v>
      </c>
      <c r="B149" s="563">
        <v>14.56</v>
      </c>
      <c r="C149" s="564">
        <v>8874.19</v>
      </c>
      <c r="D149" s="560">
        <f t="shared" si="4"/>
        <v>-1.1675824175824171E-2</v>
      </c>
      <c r="E149" s="560">
        <f t="shared" si="5"/>
        <v>3.0256282545224255E-3</v>
      </c>
    </row>
    <row r="150" spans="1:5" x14ac:dyDescent="0.25">
      <c r="A150" s="562" t="s">
        <v>339</v>
      </c>
      <c r="B150" s="563">
        <v>14.5</v>
      </c>
      <c r="C150" s="564">
        <v>8868.7199999999993</v>
      </c>
      <c r="D150" s="560">
        <f t="shared" si="4"/>
        <v>4.1379310344827926E-3</v>
      </c>
      <c r="E150" s="560">
        <f t="shared" si="5"/>
        <v>6.1677446125271338E-4</v>
      </c>
    </row>
    <row r="151" spans="1:5" x14ac:dyDescent="0.25">
      <c r="A151" s="562" t="s">
        <v>340</v>
      </c>
      <c r="B151" s="563">
        <v>14.17</v>
      </c>
      <c r="C151" s="564">
        <v>8875.33</v>
      </c>
      <c r="D151" s="560">
        <f t="shared" si="4"/>
        <v>2.3288637967537055E-2</v>
      </c>
      <c r="E151" s="560">
        <f t="shared" si="5"/>
        <v>-7.4476103987125911E-4</v>
      </c>
    </row>
    <row r="152" spans="1:5" x14ac:dyDescent="0.25">
      <c r="A152" s="562" t="s">
        <v>341</v>
      </c>
      <c r="B152" s="563">
        <v>14.01</v>
      </c>
      <c r="C152" s="564">
        <v>8766.17</v>
      </c>
      <c r="D152" s="560">
        <f t="shared" si="4"/>
        <v>1.1420413990007148E-2</v>
      </c>
      <c r="E152" s="560">
        <f t="shared" si="5"/>
        <v>1.2452416505725972E-2</v>
      </c>
    </row>
    <row r="153" spans="1:5" x14ac:dyDescent="0.25">
      <c r="A153" s="562" t="s">
        <v>342</v>
      </c>
      <c r="B153" s="563">
        <v>13.74</v>
      </c>
      <c r="C153" s="564">
        <v>8719.4</v>
      </c>
      <c r="D153" s="560">
        <f t="shared" si="4"/>
        <v>1.9650655021834031E-2</v>
      </c>
      <c r="E153" s="560">
        <f t="shared" si="5"/>
        <v>5.3639011858614624E-3</v>
      </c>
    </row>
    <row r="154" spans="1:5" x14ac:dyDescent="0.25">
      <c r="A154" s="562" t="s">
        <v>343</v>
      </c>
      <c r="B154" s="563">
        <v>14.08</v>
      </c>
      <c r="C154" s="564">
        <v>8894.6299999999992</v>
      </c>
      <c r="D154" s="560">
        <f t="shared" si="4"/>
        <v>-2.4147727272727262E-2</v>
      </c>
      <c r="E154" s="560">
        <f t="shared" si="5"/>
        <v>-1.9700650842137287E-2</v>
      </c>
    </row>
    <row r="155" spans="1:5" x14ac:dyDescent="0.25">
      <c r="A155" s="562" t="s">
        <v>344</v>
      </c>
      <c r="B155" s="563">
        <v>13.94</v>
      </c>
      <c r="C155" s="564">
        <v>8810.2900000000009</v>
      </c>
      <c r="D155" s="560">
        <f t="shared" si="4"/>
        <v>1.0043041606886698E-2</v>
      </c>
      <c r="E155" s="560">
        <f t="shared" si="5"/>
        <v>9.5728971464047515E-3</v>
      </c>
    </row>
    <row r="156" spans="1:5" x14ac:dyDescent="0.25">
      <c r="A156" s="562" t="s">
        <v>345</v>
      </c>
      <c r="B156" s="563">
        <v>14.02</v>
      </c>
      <c r="C156" s="564">
        <v>8883.6299999999992</v>
      </c>
      <c r="D156" s="560">
        <f t="shared" si="4"/>
        <v>-5.7061340941512179E-3</v>
      </c>
      <c r="E156" s="560">
        <f t="shared" si="5"/>
        <v>-8.25563423960682E-3</v>
      </c>
    </row>
    <row r="157" spans="1:5" x14ac:dyDescent="0.25">
      <c r="A157" s="562" t="s">
        <v>346</v>
      </c>
      <c r="B157" s="563">
        <v>14.34</v>
      </c>
      <c r="C157" s="564">
        <v>9004.39</v>
      </c>
      <c r="D157" s="560">
        <f t="shared" si="4"/>
        <v>-2.2315202231520243E-2</v>
      </c>
      <c r="E157" s="560">
        <f t="shared" si="5"/>
        <v>-1.3411236074847961E-2</v>
      </c>
    </row>
    <row r="158" spans="1:5" x14ac:dyDescent="0.25">
      <c r="A158" s="562" t="s">
        <v>347</v>
      </c>
      <c r="B158" s="563">
        <v>14.19</v>
      </c>
      <c r="C158" s="564">
        <v>8933.2199999999993</v>
      </c>
      <c r="D158" s="560">
        <f t="shared" si="4"/>
        <v>1.0570824524312922E-2</v>
      </c>
      <c r="E158" s="560">
        <f t="shared" si="5"/>
        <v>7.9668921172880644E-3</v>
      </c>
    </row>
    <row r="159" spans="1:5" x14ac:dyDescent="0.25">
      <c r="A159" s="562" t="s">
        <v>348</v>
      </c>
      <c r="B159" s="563">
        <v>14.29</v>
      </c>
      <c r="C159" s="564">
        <v>8953.07</v>
      </c>
      <c r="D159" s="560">
        <f t="shared" si="4"/>
        <v>-6.9979006298110319E-3</v>
      </c>
      <c r="E159" s="560">
        <f t="shared" si="5"/>
        <v>-2.2171165868244483E-3</v>
      </c>
    </row>
    <row r="160" spans="1:5" x14ac:dyDescent="0.25">
      <c r="A160" s="562" t="s">
        <v>349</v>
      </c>
      <c r="B160" s="563">
        <v>14.43</v>
      </c>
      <c r="C160" s="564">
        <v>8955.6</v>
      </c>
      <c r="D160" s="560">
        <f t="shared" si="4"/>
        <v>-9.7020097020097413E-3</v>
      </c>
      <c r="E160" s="560">
        <f t="shared" si="5"/>
        <v>-2.8250480146507827E-4</v>
      </c>
    </row>
    <row r="161" spans="1:5" x14ac:dyDescent="0.25">
      <c r="A161" s="562" t="s">
        <v>350</v>
      </c>
      <c r="B161" s="563">
        <v>14.26</v>
      </c>
      <c r="C161" s="564">
        <v>8957.61</v>
      </c>
      <c r="D161" s="560">
        <f t="shared" si="4"/>
        <v>1.1921458625525941E-2</v>
      </c>
      <c r="E161" s="560">
        <f t="shared" si="5"/>
        <v>-2.2439021122824259E-4</v>
      </c>
    </row>
    <row r="162" spans="1:5" x14ac:dyDescent="0.25">
      <c r="A162" s="562" t="s">
        <v>351</v>
      </c>
      <c r="B162" s="563">
        <v>14.18</v>
      </c>
      <c r="C162" s="564">
        <v>8919.02</v>
      </c>
      <c r="D162" s="560">
        <f t="shared" si="4"/>
        <v>5.6417489421720785E-3</v>
      </c>
      <c r="E162" s="560">
        <f t="shared" si="5"/>
        <v>4.3267085397274748E-3</v>
      </c>
    </row>
    <row r="163" spans="1:5" x14ac:dyDescent="0.25">
      <c r="A163" s="562" t="s">
        <v>352</v>
      </c>
      <c r="B163" s="563">
        <v>14.27</v>
      </c>
      <c r="C163" s="564">
        <v>8935.23</v>
      </c>
      <c r="D163" s="560">
        <f t="shared" si="4"/>
        <v>-6.3069376313945246E-3</v>
      </c>
      <c r="E163" s="560">
        <f t="shared" si="5"/>
        <v>-1.8141670667681893E-3</v>
      </c>
    </row>
    <row r="164" spans="1:5" x14ac:dyDescent="0.25">
      <c r="A164" s="562" t="s">
        <v>353</v>
      </c>
      <c r="B164" s="563">
        <v>14.3</v>
      </c>
      <c r="C164" s="564">
        <v>8893.74</v>
      </c>
      <c r="D164" s="560">
        <f t="shared" si="4"/>
        <v>-2.0979020979021773E-3</v>
      </c>
      <c r="E164" s="560">
        <f t="shared" si="5"/>
        <v>4.6650790331176518E-3</v>
      </c>
    </row>
    <row r="165" spans="1:5" x14ac:dyDescent="0.25">
      <c r="A165" s="562" t="s">
        <v>354</v>
      </c>
      <c r="B165" s="563">
        <v>14.4</v>
      </c>
      <c r="C165" s="564">
        <v>8934.24</v>
      </c>
      <c r="D165" s="560">
        <f t="shared" si="4"/>
        <v>-6.9444444444444198E-3</v>
      </c>
      <c r="E165" s="560">
        <f t="shared" si="5"/>
        <v>-4.5331220114973409E-3</v>
      </c>
    </row>
    <row r="166" spans="1:5" x14ac:dyDescent="0.25">
      <c r="A166" s="562" t="s">
        <v>355</v>
      </c>
      <c r="B166" s="563">
        <v>14.34</v>
      </c>
      <c r="C166" s="564">
        <v>8920.1299999999992</v>
      </c>
      <c r="D166" s="560">
        <f t="shared" si="4"/>
        <v>4.1841004184100762E-3</v>
      </c>
      <c r="E166" s="560">
        <f t="shared" si="5"/>
        <v>1.5818155116574066E-3</v>
      </c>
    </row>
    <row r="167" spans="1:5" x14ac:dyDescent="0.25">
      <c r="A167" s="562" t="s">
        <v>356</v>
      </c>
      <c r="B167" s="563">
        <v>14.12</v>
      </c>
      <c r="C167" s="564">
        <v>8852.7900000000009</v>
      </c>
      <c r="D167" s="560">
        <f t="shared" si="4"/>
        <v>1.5580736543909394E-2</v>
      </c>
      <c r="E167" s="560">
        <f t="shared" si="5"/>
        <v>7.6066415220510507E-3</v>
      </c>
    </row>
    <row r="168" spans="1:5" x14ac:dyDescent="0.25">
      <c r="A168" s="562" t="s">
        <v>357</v>
      </c>
      <c r="B168" s="563">
        <v>14.52</v>
      </c>
      <c r="C168" s="564">
        <v>8965.1200000000008</v>
      </c>
      <c r="D168" s="560">
        <f t="shared" si="4"/>
        <v>-2.754820936639121E-2</v>
      </c>
      <c r="E168" s="560">
        <f t="shared" si="5"/>
        <v>-1.2529670545402619E-2</v>
      </c>
    </row>
    <row r="169" spans="1:5" x14ac:dyDescent="0.25">
      <c r="A169" s="562" t="s">
        <v>358</v>
      </c>
      <c r="B169" s="563">
        <v>14.81</v>
      </c>
      <c r="C169" s="564">
        <v>8894.7099999999991</v>
      </c>
      <c r="D169" s="560">
        <f t="shared" si="4"/>
        <v>-1.9581363943281627E-2</v>
      </c>
      <c r="E169" s="560">
        <f t="shared" si="5"/>
        <v>7.9159410481063099E-3</v>
      </c>
    </row>
    <row r="170" spans="1:5" x14ac:dyDescent="0.25">
      <c r="A170" s="562" t="s">
        <v>359</v>
      </c>
      <c r="B170" s="563">
        <v>14.45</v>
      </c>
      <c r="C170" s="564">
        <v>8904.31</v>
      </c>
      <c r="D170" s="560">
        <f t="shared" si="4"/>
        <v>2.4913494809688665E-2</v>
      </c>
      <c r="E170" s="560">
        <f t="shared" si="5"/>
        <v>-1.0781295799450338E-3</v>
      </c>
    </row>
    <row r="171" spans="1:5" x14ac:dyDescent="0.25">
      <c r="A171" s="562" t="s">
        <v>360</v>
      </c>
      <c r="B171" s="563">
        <v>14.43</v>
      </c>
      <c r="C171" s="564">
        <v>8935.64</v>
      </c>
      <c r="D171" s="560">
        <f t="shared" si="4"/>
        <v>1.3860013860013565E-3</v>
      </c>
      <c r="E171" s="560">
        <f t="shared" si="5"/>
        <v>-3.5061842240734775E-3</v>
      </c>
    </row>
    <row r="172" spans="1:5" x14ac:dyDescent="0.25">
      <c r="A172" s="562" t="s">
        <v>361</v>
      </c>
      <c r="B172" s="563">
        <v>14.26</v>
      </c>
      <c r="C172" s="564">
        <v>8880.01</v>
      </c>
      <c r="D172" s="560">
        <f t="shared" si="4"/>
        <v>1.1921458625525941E-2</v>
      </c>
      <c r="E172" s="560">
        <f t="shared" si="5"/>
        <v>6.2646325848731248E-3</v>
      </c>
    </row>
    <row r="173" spans="1:5" x14ac:dyDescent="0.25">
      <c r="A173" s="562" t="s">
        <v>362</v>
      </c>
      <c r="B173" s="563">
        <v>14.16</v>
      </c>
      <c r="C173" s="564">
        <v>8904.5300000000007</v>
      </c>
      <c r="D173" s="560">
        <f t="shared" si="4"/>
        <v>7.0621468926553421E-3</v>
      </c>
      <c r="E173" s="560">
        <f t="shared" si="5"/>
        <v>-2.7536546005236025E-3</v>
      </c>
    </row>
    <row r="174" spans="1:5" x14ac:dyDescent="0.25">
      <c r="A174" s="562" t="s">
        <v>363</v>
      </c>
      <c r="B174" s="563">
        <v>14.4</v>
      </c>
      <c r="C174" s="564">
        <v>8856.59</v>
      </c>
      <c r="D174" s="560">
        <f t="shared" si="4"/>
        <v>-1.666666666666668E-2</v>
      </c>
      <c r="E174" s="560">
        <f t="shared" si="5"/>
        <v>5.4129185160429133E-3</v>
      </c>
    </row>
    <row r="175" spans="1:5" x14ac:dyDescent="0.25">
      <c r="A175" s="562" t="s">
        <v>364</v>
      </c>
      <c r="B175" s="563">
        <v>14.19</v>
      </c>
      <c r="C175" s="564">
        <v>8828.66</v>
      </c>
      <c r="D175" s="560">
        <f t="shared" si="4"/>
        <v>1.4799154334038115E-2</v>
      </c>
      <c r="E175" s="560">
        <f t="shared" si="5"/>
        <v>3.1635604950241928E-3</v>
      </c>
    </row>
    <row r="176" spans="1:5" x14ac:dyDescent="0.25">
      <c r="A176" s="562" t="s">
        <v>365</v>
      </c>
      <c r="B176" s="563">
        <v>14.2</v>
      </c>
      <c r="C176" s="564">
        <v>8832.75</v>
      </c>
      <c r="D176" s="560">
        <f t="shared" si="4"/>
        <v>-7.0422535211266113E-4</v>
      </c>
      <c r="E176" s="560">
        <f t="shared" si="5"/>
        <v>-4.6304944666158846E-4</v>
      </c>
    </row>
    <row r="177" spans="1:5" x14ac:dyDescent="0.25">
      <c r="A177" s="562" t="s">
        <v>366</v>
      </c>
      <c r="B177" s="563">
        <v>14.07</v>
      </c>
      <c r="C177" s="564">
        <v>8792.6299999999992</v>
      </c>
      <c r="D177" s="560">
        <f t="shared" si="4"/>
        <v>9.2395167022031981E-3</v>
      </c>
      <c r="E177" s="560">
        <f t="shared" si="5"/>
        <v>4.5629123481826031E-3</v>
      </c>
    </row>
    <row r="178" spans="1:5" x14ac:dyDescent="0.25">
      <c r="A178" s="562" t="s">
        <v>367</v>
      </c>
      <c r="B178" s="563">
        <v>13.81</v>
      </c>
      <c r="C178" s="564">
        <v>8766.5400000000009</v>
      </c>
      <c r="D178" s="560">
        <f t="shared" si="4"/>
        <v>1.8826937002172323E-2</v>
      </c>
      <c r="E178" s="560">
        <f t="shared" si="5"/>
        <v>2.9760886278963334E-3</v>
      </c>
    </row>
    <row r="179" spans="1:5" x14ac:dyDescent="0.25">
      <c r="A179" s="562" t="s">
        <v>368</v>
      </c>
      <c r="B179" s="563">
        <v>13.51</v>
      </c>
      <c r="C179" s="564">
        <v>8710.56</v>
      </c>
      <c r="D179" s="560">
        <f t="shared" si="4"/>
        <v>2.2205773501110342E-2</v>
      </c>
      <c r="E179" s="560">
        <f t="shared" si="5"/>
        <v>6.4266820962144092E-3</v>
      </c>
    </row>
    <row r="180" spans="1:5" x14ac:dyDescent="0.25">
      <c r="A180" s="562" t="s">
        <v>369</v>
      </c>
      <c r="B180" s="563">
        <v>13.52</v>
      </c>
      <c r="C180" s="564">
        <v>8733.1</v>
      </c>
      <c r="D180" s="560">
        <f t="shared" si="4"/>
        <v>-7.3964497041418545E-4</v>
      </c>
      <c r="E180" s="560">
        <f t="shared" si="5"/>
        <v>-2.5809849881486381E-3</v>
      </c>
    </row>
    <row r="181" spans="1:5" x14ac:dyDescent="0.25">
      <c r="A181" s="562" t="s">
        <v>370</v>
      </c>
      <c r="B181" s="563">
        <v>13.39</v>
      </c>
      <c r="C181" s="564">
        <v>8717.44</v>
      </c>
      <c r="D181" s="560">
        <f t="shared" si="4"/>
        <v>9.7087378640775945E-3</v>
      </c>
      <c r="E181" s="560">
        <f t="shared" si="5"/>
        <v>1.7963989428088811E-3</v>
      </c>
    </row>
    <row r="182" spans="1:5" x14ac:dyDescent="0.25">
      <c r="A182" s="562" t="s">
        <v>371</v>
      </c>
      <c r="B182" s="563">
        <v>13.58</v>
      </c>
      <c r="C182" s="564">
        <v>8712.4</v>
      </c>
      <c r="D182" s="560">
        <f t="shared" si="4"/>
        <v>-1.3991163475699521E-2</v>
      </c>
      <c r="E182" s="560">
        <f t="shared" si="5"/>
        <v>5.7848583627942624E-4</v>
      </c>
    </row>
    <row r="183" spans="1:5" x14ac:dyDescent="0.25">
      <c r="A183" s="562" t="s">
        <v>372</v>
      </c>
      <c r="B183" s="563">
        <v>13.58</v>
      </c>
      <c r="C183" s="564">
        <v>8713.75</v>
      </c>
      <c r="D183" s="560">
        <f t="shared" ref="D183:D246" si="6">(B182-B183)/B183</f>
        <v>0</v>
      </c>
      <c r="E183" s="560">
        <f t="shared" ref="E183:E246" si="7">(C182-C183)/C183</f>
        <v>-1.5492755702198983E-4</v>
      </c>
    </row>
    <row r="184" spans="1:5" x14ac:dyDescent="0.25">
      <c r="A184" s="562" t="s">
        <v>373</v>
      </c>
      <c r="B184" s="563">
        <v>13.76</v>
      </c>
      <c r="C184" s="564">
        <v>8636.1</v>
      </c>
      <c r="D184" s="560">
        <f t="shared" si="6"/>
        <v>-1.3081395348837189E-2</v>
      </c>
      <c r="E184" s="560">
        <f t="shared" si="7"/>
        <v>8.991327103669438E-3</v>
      </c>
    </row>
    <row r="185" spans="1:5" x14ac:dyDescent="0.25">
      <c r="A185" s="562" t="s">
        <v>374</v>
      </c>
      <c r="B185" s="563">
        <v>13.79</v>
      </c>
      <c r="C185" s="564">
        <v>8604.3799999999992</v>
      </c>
      <c r="D185" s="560">
        <f t="shared" si="6"/>
        <v>-2.1754894851341087E-3</v>
      </c>
      <c r="E185" s="560">
        <f t="shared" si="7"/>
        <v>3.6864945527744202E-3</v>
      </c>
    </row>
    <row r="186" spans="1:5" x14ac:dyDescent="0.25">
      <c r="A186" s="562" t="s">
        <v>375</v>
      </c>
      <c r="B186" s="563">
        <v>13.61</v>
      </c>
      <c r="C186" s="564">
        <v>8636.91</v>
      </c>
      <c r="D186" s="560">
        <f t="shared" si="6"/>
        <v>1.322556943423951E-2</v>
      </c>
      <c r="E186" s="560">
        <f t="shared" si="7"/>
        <v>-3.7663933050130958E-3</v>
      </c>
    </row>
    <row r="187" spans="1:5" x14ac:dyDescent="0.25">
      <c r="A187" s="562" t="s">
        <v>376</v>
      </c>
      <c r="B187" s="563">
        <v>13.58</v>
      </c>
      <c r="C187" s="564">
        <v>8667.68</v>
      </c>
      <c r="D187" s="560">
        <f t="shared" si="6"/>
        <v>2.2091310751104092E-3</v>
      </c>
      <c r="E187" s="560">
        <f t="shared" si="7"/>
        <v>-3.549969542022829E-3</v>
      </c>
    </row>
    <row r="188" spans="1:5" x14ac:dyDescent="0.25">
      <c r="A188" s="562" t="s">
        <v>377</v>
      </c>
      <c r="B188" s="563">
        <v>13.34</v>
      </c>
      <c r="C188" s="564">
        <v>8607.7900000000009</v>
      </c>
      <c r="D188" s="560">
        <f t="shared" si="6"/>
        <v>1.799100449775114E-2</v>
      </c>
      <c r="E188" s="560">
        <f t="shared" si="7"/>
        <v>6.9576511508760569E-3</v>
      </c>
    </row>
    <row r="189" spans="1:5" x14ac:dyDescent="0.25">
      <c r="A189" s="562" t="s">
        <v>378</v>
      </c>
      <c r="B189" s="563">
        <v>13.33</v>
      </c>
      <c r="C189" s="564">
        <v>8632.01</v>
      </c>
      <c r="D189" s="560">
        <f t="shared" si="6"/>
        <v>7.5018754688670566E-4</v>
      </c>
      <c r="E189" s="560">
        <f t="shared" si="7"/>
        <v>-2.8058354890690982E-3</v>
      </c>
    </row>
    <row r="190" spans="1:5" x14ac:dyDescent="0.25">
      <c r="A190" s="562" t="s">
        <v>379</v>
      </c>
      <c r="B190" s="563">
        <v>12.85</v>
      </c>
      <c r="C190" s="564">
        <v>8443.51</v>
      </c>
      <c r="D190" s="560">
        <f t="shared" si="6"/>
        <v>3.7354085603112874E-2</v>
      </c>
      <c r="E190" s="560">
        <f t="shared" si="7"/>
        <v>2.2324838840719084E-2</v>
      </c>
    </row>
    <row r="191" spans="1:5" x14ac:dyDescent="0.25">
      <c r="A191" s="562" t="s">
        <v>380</v>
      </c>
      <c r="B191" s="563">
        <v>12.61</v>
      </c>
      <c r="C191" s="564">
        <v>8316.16</v>
      </c>
      <c r="D191" s="560">
        <f t="shared" si="6"/>
        <v>1.9032513877874722E-2</v>
      </c>
      <c r="E191" s="560">
        <f t="shared" si="7"/>
        <v>1.5313558180698829E-2</v>
      </c>
    </row>
    <row r="192" spans="1:5" x14ac:dyDescent="0.25">
      <c r="A192" s="562" t="s">
        <v>381</v>
      </c>
      <c r="B192" s="563">
        <v>12.48</v>
      </c>
      <c r="C192" s="564">
        <v>8399.83</v>
      </c>
      <c r="D192" s="560">
        <f t="shared" si="6"/>
        <v>1.0416666666666586E-2</v>
      </c>
      <c r="E192" s="560">
        <f t="shared" si="7"/>
        <v>-9.9609158756784454E-3</v>
      </c>
    </row>
    <row r="193" spans="1:5" x14ac:dyDescent="0.25">
      <c r="A193" s="562" t="s">
        <v>382</v>
      </c>
      <c r="B193" s="563">
        <v>12.8</v>
      </c>
      <c r="C193" s="564">
        <v>8395.49</v>
      </c>
      <c r="D193" s="560">
        <f t="shared" si="6"/>
        <v>-2.5000000000000022E-2</v>
      </c>
      <c r="E193" s="560">
        <f t="shared" si="7"/>
        <v>5.1694421647815027E-4</v>
      </c>
    </row>
    <row r="194" spans="1:5" x14ac:dyDescent="0.25">
      <c r="A194" s="562" t="s">
        <v>383</v>
      </c>
      <c r="B194" s="563">
        <v>12.87</v>
      </c>
      <c r="C194" s="564">
        <v>8420.5499999999993</v>
      </c>
      <c r="D194" s="560">
        <f t="shared" si="6"/>
        <v>-5.4390054390053236E-3</v>
      </c>
      <c r="E194" s="560">
        <f t="shared" si="7"/>
        <v>-2.9760526331414805E-3</v>
      </c>
    </row>
    <row r="195" spans="1:5" x14ac:dyDescent="0.25">
      <c r="A195" s="562" t="s">
        <v>384</v>
      </c>
      <c r="B195" s="563">
        <v>12.99</v>
      </c>
      <c r="C195" s="564">
        <v>8443.15</v>
      </c>
      <c r="D195" s="560">
        <f t="shared" si="6"/>
        <v>-9.237875288683679E-3</v>
      </c>
      <c r="E195" s="560">
        <f t="shared" si="7"/>
        <v>-2.6767261034093158E-3</v>
      </c>
    </row>
    <row r="196" spans="1:5" x14ac:dyDescent="0.25">
      <c r="A196" s="562" t="s">
        <v>385</v>
      </c>
      <c r="B196" s="563">
        <v>13.22</v>
      </c>
      <c r="C196" s="564">
        <v>8516.43</v>
      </c>
      <c r="D196" s="560">
        <f t="shared" si="6"/>
        <v>-1.7397881996974313E-2</v>
      </c>
      <c r="E196" s="560">
        <f t="shared" si="7"/>
        <v>-8.6045443924274191E-3</v>
      </c>
    </row>
    <row r="197" spans="1:5" x14ac:dyDescent="0.25">
      <c r="A197" s="562" t="s">
        <v>386</v>
      </c>
      <c r="B197" s="563">
        <v>13.13</v>
      </c>
      <c r="C197" s="564">
        <v>8463.82</v>
      </c>
      <c r="D197" s="560">
        <f t="shared" si="6"/>
        <v>6.8545316070068429E-3</v>
      </c>
      <c r="E197" s="560">
        <f t="shared" si="7"/>
        <v>6.2158694301155488E-3</v>
      </c>
    </row>
    <row r="198" spans="1:5" x14ac:dyDescent="0.25">
      <c r="A198" s="562" t="s">
        <v>387</v>
      </c>
      <c r="B198" s="563">
        <v>13</v>
      </c>
      <c r="C198" s="564">
        <v>8499.35</v>
      </c>
      <c r="D198" s="560">
        <f t="shared" si="6"/>
        <v>1.0000000000000061E-2</v>
      </c>
      <c r="E198" s="560">
        <f t="shared" si="7"/>
        <v>-4.1803196715043687E-3</v>
      </c>
    </row>
    <row r="199" spans="1:5" x14ac:dyDescent="0.25">
      <c r="A199" s="562" t="s">
        <v>388</v>
      </c>
      <c r="B199" s="563">
        <v>12.7</v>
      </c>
      <c r="C199" s="564">
        <v>8407.01</v>
      </c>
      <c r="D199" s="560">
        <f t="shared" si="6"/>
        <v>2.3622047244094547E-2</v>
      </c>
      <c r="E199" s="560">
        <f t="shared" si="7"/>
        <v>1.0983690991208545E-2</v>
      </c>
    </row>
    <row r="200" spans="1:5" x14ac:dyDescent="0.25">
      <c r="A200" s="562" t="s">
        <v>389</v>
      </c>
      <c r="B200" s="563">
        <v>12.93</v>
      </c>
      <c r="C200" s="564">
        <v>8333.75</v>
      </c>
      <c r="D200" s="560">
        <f t="shared" si="6"/>
        <v>-1.7788089713843807E-2</v>
      </c>
      <c r="E200" s="560">
        <f t="shared" si="7"/>
        <v>8.7907604619769271E-3</v>
      </c>
    </row>
    <row r="201" spans="1:5" x14ac:dyDescent="0.25">
      <c r="A201" s="562" t="s">
        <v>390</v>
      </c>
      <c r="B201" s="563">
        <v>13.03</v>
      </c>
      <c r="C201" s="564">
        <v>8338.32</v>
      </c>
      <c r="D201" s="560">
        <f t="shared" si="6"/>
        <v>-7.674597083653081E-3</v>
      </c>
      <c r="E201" s="560">
        <f t="shared" si="7"/>
        <v>-5.4807203369500201E-4</v>
      </c>
    </row>
    <row r="202" spans="1:5" x14ac:dyDescent="0.25">
      <c r="A202" s="562" t="s">
        <v>391</v>
      </c>
      <c r="B202" s="563">
        <v>13.04</v>
      </c>
      <c r="C202" s="564">
        <v>8380.8799999999992</v>
      </c>
      <c r="D202" s="560">
        <f t="shared" si="6"/>
        <v>-7.6687116564415553E-4</v>
      </c>
      <c r="E202" s="560">
        <f t="shared" si="7"/>
        <v>-5.0782256755853199E-3</v>
      </c>
    </row>
    <row r="203" spans="1:5" x14ac:dyDescent="0.25">
      <c r="A203" s="562" t="s">
        <v>392</v>
      </c>
      <c r="B203" s="563">
        <v>12.87</v>
      </c>
      <c r="C203" s="564">
        <v>8366.4699999999993</v>
      </c>
      <c r="D203" s="560">
        <f t="shared" si="6"/>
        <v>1.3209013209013205E-2</v>
      </c>
      <c r="E203" s="560">
        <f t="shared" si="7"/>
        <v>1.7223512425192293E-3</v>
      </c>
    </row>
    <row r="204" spans="1:5" x14ac:dyDescent="0.25">
      <c r="A204" s="562" t="s">
        <v>393</v>
      </c>
      <c r="B204" s="563">
        <v>12.74</v>
      </c>
      <c r="C204" s="564">
        <v>8322.68</v>
      </c>
      <c r="D204" s="560">
        <f t="shared" si="6"/>
        <v>1.0204081632652982E-2</v>
      </c>
      <c r="E204" s="560">
        <f t="shared" si="7"/>
        <v>5.2615263352668914E-3</v>
      </c>
    </row>
    <row r="205" spans="1:5" x14ac:dyDescent="0.25">
      <c r="A205" s="562" t="s">
        <v>394</v>
      </c>
      <c r="B205" s="563">
        <v>12.87</v>
      </c>
      <c r="C205" s="564">
        <v>8314.2999999999993</v>
      </c>
      <c r="D205" s="560">
        <f t="shared" si="6"/>
        <v>-1.0101010101010024E-2</v>
      </c>
      <c r="E205" s="560">
        <f t="shared" si="7"/>
        <v>1.0079020482783902E-3</v>
      </c>
    </row>
    <row r="206" spans="1:5" x14ac:dyDescent="0.25">
      <c r="A206" s="562" t="s">
        <v>395</v>
      </c>
      <c r="B206" s="563">
        <v>13.1</v>
      </c>
      <c r="C206" s="564">
        <v>8280.93</v>
      </c>
      <c r="D206" s="560">
        <f t="shared" si="6"/>
        <v>-1.7557251908396979E-2</v>
      </c>
      <c r="E206" s="560">
        <f t="shared" si="7"/>
        <v>4.0297406209204743E-3</v>
      </c>
    </row>
    <row r="207" spans="1:5" x14ac:dyDescent="0.25">
      <c r="A207" s="562" t="s">
        <v>396</v>
      </c>
      <c r="B207" s="563">
        <v>12.87</v>
      </c>
      <c r="C207" s="564">
        <v>8264.7999999999993</v>
      </c>
      <c r="D207" s="560">
        <f t="shared" si="6"/>
        <v>1.7871017871017907E-2</v>
      </c>
      <c r="E207" s="560">
        <f t="shared" si="7"/>
        <v>1.9516503726649188E-3</v>
      </c>
    </row>
    <row r="208" spans="1:5" x14ac:dyDescent="0.25">
      <c r="A208" s="562" t="s">
        <v>397</v>
      </c>
      <c r="B208" s="563">
        <v>13</v>
      </c>
      <c r="C208" s="564">
        <v>8223.8700000000008</v>
      </c>
      <c r="D208" s="560">
        <f t="shared" si="6"/>
        <v>-1.0000000000000061E-2</v>
      </c>
      <c r="E208" s="560">
        <f t="shared" si="7"/>
        <v>4.9769755601679587E-3</v>
      </c>
    </row>
    <row r="209" spans="1:5" x14ac:dyDescent="0.25">
      <c r="A209" s="562" t="s">
        <v>398</v>
      </c>
      <c r="B209" s="563">
        <v>13.15</v>
      </c>
      <c r="C209" s="564">
        <v>8223.5400000000009</v>
      </c>
      <c r="D209" s="560">
        <f t="shared" si="6"/>
        <v>-1.1406844106463905E-2</v>
      </c>
      <c r="E209" s="560">
        <f t="shared" si="7"/>
        <v>4.0128703696939179E-5</v>
      </c>
    </row>
    <row r="210" spans="1:5" x14ac:dyDescent="0.25">
      <c r="A210" s="562" t="s">
        <v>399</v>
      </c>
      <c r="B210" s="563">
        <v>13.12</v>
      </c>
      <c r="C210" s="564">
        <v>8260.43</v>
      </c>
      <c r="D210" s="560">
        <f t="shared" si="6"/>
        <v>2.2865853658537451E-3</v>
      </c>
      <c r="E210" s="560">
        <f t="shared" si="7"/>
        <v>-4.4658692101984298E-3</v>
      </c>
    </row>
    <row r="211" spans="1:5" x14ac:dyDescent="0.25">
      <c r="A211" s="562" t="s">
        <v>400</v>
      </c>
      <c r="B211" s="563">
        <v>13.07</v>
      </c>
      <c r="C211" s="564">
        <v>8256.07</v>
      </c>
      <c r="D211" s="560">
        <f t="shared" si="6"/>
        <v>3.8255547054322062E-3</v>
      </c>
      <c r="E211" s="560">
        <f t="shared" si="7"/>
        <v>5.2809629763320588E-4</v>
      </c>
    </row>
    <row r="212" spans="1:5" x14ac:dyDescent="0.25">
      <c r="A212" s="562" t="s">
        <v>401</v>
      </c>
      <c r="B212" s="563">
        <v>13.02</v>
      </c>
      <c r="C212" s="564">
        <v>8207.36</v>
      </c>
      <c r="D212" s="560">
        <f t="shared" si="6"/>
        <v>3.8402457757297013E-3</v>
      </c>
      <c r="E212" s="560">
        <f t="shared" si="7"/>
        <v>5.9349169525887892E-3</v>
      </c>
    </row>
    <row r="213" spans="1:5" x14ac:dyDescent="0.25">
      <c r="A213" s="562" t="s">
        <v>402</v>
      </c>
      <c r="B213" s="563">
        <v>12.98</v>
      </c>
      <c r="C213" s="564">
        <v>8150.77</v>
      </c>
      <c r="D213" s="560">
        <f t="shared" si="6"/>
        <v>3.0816640986131853E-3</v>
      </c>
      <c r="E213" s="560">
        <f t="shared" si="7"/>
        <v>6.942902327019428E-3</v>
      </c>
    </row>
    <row r="214" spans="1:5" x14ac:dyDescent="0.25">
      <c r="A214" s="562" t="s">
        <v>403</v>
      </c>
      <c r="B214" s="563">
        <v>12.99</v>
      </c>
      <c r="C214" s="564">
        <v>8197.57</v>
      </c>
      <c r="D214" s="560">
        <f t="shared" si="6"/>
        <v>-7.6982294072361714E-4</v>
      </c>
      <c r="E214" s="560">
        <f t="shared" si="7"/>
        <v>-5.7090088892195216E-3</v>
      </c>
    </row>
    <row r="215" spans="1:5" x14ac:dyDescent="0.25">
      <c r="A215" s="562" t="s">
        <v>404</v>
      </c>
      <c r="B215" s="563">
        <v>12.93</v>
      </c>
      <c r="C215" s="564">
        <v>8225.51</v>
      </c>
      <c r="D215" s="560">
        <f t="shared" si="6"/>
        <v>4.6403712296984147E-3</v>
      </c>
      <c r="E215" s="560">
        <f t="shared" si="7"/>
        <v>-3.3967498671815498E-3</v>
      </c>
    </row>
    <row r="216" spans="1:5" x14ac:dyDescent="0.25">
      <c r="A216" s="562" t="s">
        <v>405</v>
      </c>
      <c r="B216" s="563">
        <v>12.76</v>
      </c>
      <c r="C216" s="564">
        <v>8112.18</v>
      </c>
      <c r="D216" s="560">
        <f t="shared" si="6"/>
        <v>1.332288401253918E-2</v>
      </c>
      <c r="E216" s="560">
        <f t="shared" si="7"/>
        <v>1.3970350756516734E-2</v>
      </c>
    </row>
    <row r="217" spans="1:5" x14ac:dyDescent="0.25">
      <c r="A217" s="562" t="s">
        <v>406</v>
      </c>
      <c r="B217" s="563">
        <v>12.51</v>
      </c>
      <c r="C217" s="564">
        <v>8086.41</v>
      </c>
      <c r="D217" s="560">
        <f t="shared" si="6"/>
        <v>1.9984012789768187E-2</v>
      </c>
      <c r="E217" s="560">
        <f t="shared" si="7"/>
        <v>3.1868282711364423E-3</v>
      </c>
    </row>
    <row r="218" spans="1:5" x14ac:dyDescent="0.25">
      <c r="A218" s="562" t="s">
        <v>407</v>
      </c>
      <c r="B218" s="563">
        <v>12.28</v>
      </c>
      <c r="C218" s="564">
        <v>8080.29</v>
      </c>
      <c r="D218" s="560">
        <f t="shared" si="6"/>
        <v>1.8729641693811111E-2</v>
      </c>
      <c r="E218" s="560">
        <f t="shared" si="7"/>
        <v>7.5739855871508207E-4</v>
      </c>
    </row>
    <row r="219" spans="1:5" x14ac:dyDescent="0.25">
      <c r="A219" s="562" t="s">
        <v>408</v>
      </c>
      <c r="B219" s="563">
        <v>11.54</v>
      </c>
      <c r="C219" s="564">
        <v>7931.55</v>
      </c>
      <c r="D219" s="560">
        <f t="shared" si="6"/>
        <v>6.4124783362218399E-2</v>
      </c>
      <c r="E219" s="560">
        <f t="shared" si="7"/>
        <v>1.8752954970970338E-2</v>
      </c>
    </row>
    <row r="220" spans="1:5" x14ac:dyDescent="0.25">
      <c r="A220" s="562" t="s">
        <v>409</v>
      </c>
      <c r="B220" s="563">
        <v>11.64</v>
      </c>
      <c r="C220" s="564">
        <v>7896.88</v>
      </c>
      <c r="D220" s="560">
        <f t="shared" si="6"/>
        <v>-8.5910652920963421E-3</v>
      </c>
      <c r="E220" s="560">
        <f t="shared" si="7"/>
        <v>4.390341501960277E-3</v>
      </c>
    </row>
    <row r="221" spans="1:5" x14ac:dyDescent="0.25">
      <c r="A221" s="562" t="s">
        <v>410</v>
      </c>
      <c r="B221" s="563">
        <v>11.66</v>
      </c>
      <c r="C221" s="564">
        <v>7903.42</v>
      </c>
      <c r="D221" s="560">
        <f t="shared" si="6"/>
        <v>-1.7152658662092258E-3</v>
      </c>
      <c r="E221" s="560">
        <f t="shared" si="7"/>
        <v>-8.2748987147335761E-4</v>
      </c>
    </row>
    <row r="222" spans="1:5" x14ac:dyDescent="0.25">
      <c r="A222" s="562" t="s">
        <v>411</v>
      </c>
      <c r="B222" s="563">
        <v>12.01</v>
      </c>
      <c r="C222" s="564">
        <v>8023.23</v>
      </c>
      <c r="D222" s="560">
        <f t="shared" si="6"/>
        <v>-2.9142381348875909E-2</v>
      </c>
      <c r="E222" s="560">
        <f t="shared" si="7"/>
        <v>-1.4932888624656093E-2</v>
      </c>
    </row>
    <row r="223" spans="1:5" x14ac:dyDescent="0.25">
      <c r="A223" s="562" t="s">
        <v>412</v>
      </c>
      <c r="B223" s="563">
        <v>12.29</v>
      </c>
      <c r="C223" s="564">
        <v>8054.04</v>
      </c>
      <c r="D223" s="560">
        <f t="shared" si="6"/>
        <v>-2.2782750203417364E-2</v>
      </c>
      <c r="E223" s="560">
        <f t="shared" si="7"/>
        <v>-3.8254093597747713E-3</v>
      </c>
    </row>
    <row r="224" spans="1:5" x14ac:dyDescent="0.25">
      <c r="A224" s="562" t="s">
        <v>413</v>
      </c>
      <c r="B224" s="563">
        <v>12.29</v>
      </c>
      <c r="C224" s="564">
        <v>8053.56</v>
      </c>
      <c r="D224" s="560">
        <f t="shared" si="6"/>
        <v>0</v>
      </c>
      <c r="E224" s="560">
        <f t="shared" si="7"/>
        <v>5.9600971495781172E-5</v>
      </c>
    </row>
    <row r="225" spans="1:5" x14ac:dyDescent="0.25">
      <c r="A225" s="562" t="s">
        <v>414</v>
      </c>
      <c r="B225" s="563">
        <v>12.44</v>
      </c>
      <c r="C225" s="564">
        <v>8050.83</v>
      </c>
      <c r="D225" s="560">
        <f t="shared" si="6"/>
        <v>-1.2057877813504852E-2</v>
      </c>
      <c r="E225" s="560">
        <f t="shared" si="7"/>
        <v>3.3909547214392468E-4</v>
      </c>
    </row>
    <row r="226" spans="1:5" x14ac:dyDescent="0.25">
      <c r="A226" s="562" t="s">
        <v>415</v>
      </c>
      <c r="B226" s="563">
        <v>12.52</v>
      </c>
      <c r="C226" s="564">
        <v>8138.8</v>
      </c>
      <c r="D226" s="560">
        <f t="shared" si="6"/>
        <v>-6.3897763578274818E-3</v>
      </c>
      <c r="E226" s="560">
        <f t="shared" si="7"/>
        <v>-1.0808718730033943E-2</v>
      </c>
    </row>
    <row r="227" spans="1:5" x14ac:dyDescent="0.25">
      <c r="A227" s="562" t="s">
        <v>416</v>
      </c>
      <c r="B227" s="563">
        <v>12.84</v>
      </c>
      <c r="C227" s="564">
        <v>8312.35</v>
      </c>
      <c r="D227" s="560">
        <f t="shared" si="6"/>
        <v>-2.4922118380062329E-2</v>
      </c>
      <c r="E227" s="560">
        <f t="shared" si="7"/>
        <v>-2.087857224491271E-2</v>
      </c>
    </row>
    <row r="228" spans="1:5" x14ac:dyDescent="0.25">
      <c r="A228" s="562" t="s">
        <v>417</v>
      </c>
      <c r="B228" s="563">
        <v>12.65</v>
      </c>
      <c r="C228" s="564">
        <v>8240.25</v>
      </c>
      <c r="D228" s="560">
        <f t="shared" si="6"/>
        <v>1.5019762845849762E-2</v>
      </c>
      <c r="E228" s="560">
        <f t="shared" si="7"/>
        <v>8.7497345347532368E-3</v>
      </c>
    </row>
    <row r="229" spans="1:5" x14ac:dyDescent="0.25">
      <c r="A229" s="562" t="s">
        <v>418</v>
      </c>
      <c r="B229" s="563">
        <v>12.66</v>
      </c>
      <c r="C229" s="564">
        <v>8234.91</v>
      </c>
      <c r="D229" s="560">
        <f t="shared" si="6"/>
        <v>-7.8988941548181573E-4</v>
      </c>
      <c r="E229" s="560">
        <f t="shared" si="7"/>
        <v>6.4845881740057212E-4</v>
      </c>
    </row>
    <row r="230" spans="1:5" x14ac:dyDescent="0.25">
      <c r="A230" s="562" t="s">
        <v>419</v>
      </c>
      <c r="B230" s="563">
        <v>12.77</v>
      </c>
      <c r="C230" s="564">
        <v>8311.36</v>
      </c>
      <c r="D230" s="560">
        <f t="shared" si="6"/>
        <v>-8.6139389193421647E-3</v>
      </c>
      <c r="E230" s="560">
        <f t="shared" si="7"/>
        <v>-9.1982539560313496E-3</v>
      </c>
    </row>
    <row r="231" spans="1:5" x14ac:dyDescent="0.25">
      <c r="A231" s="562" t="s">
        <v>420</v>
      </c>
      <c r="B231" s="563">
        <v>12.49</v>
      </c>
      <c r="C231" s="564">
        <v>8221.4</v>
      </c>
      <c r="D231" s="560">
        <f t="shared" si="6"/>
        <v>2.2417934347477932E-2</v>
      </c>
      <c r="E231" s="560">
        <f t="shared" si="7"/>
        <v>1.0942175298611058E-2</v>
      </c>
    </row>
    <row r="232" spans="1:5" x14ac:dyDescent="0.25">
      <c r="A232" s="562" t="s">
        <v>421</v>
      </c>
      <c r="B232" s="563">
        <v>12.68</v>
      </c>
      <c r="C232" s="564">
        <v>8190.2</v>
      </c>
      <c r="D232" s="560">
        <f t="shared" si="6"/>
        <v>-1.49842271293375E-2</v>
      </c>
      <c r="E232" s="560">
        <f t="shared" si="7"/>
        <v>3.8094307831310369E-3</v>
      </c>
    </row>
    <row r="233" spans="1:5" x14ac:dyDescent="0.25">
      <c r="A233" s="562" t="s">
        <v>422</v>
      </c>
      <c r="B233" s="563">
        <v>12.89</v>
      </c>
      <c r="C233" s="564">
        <v>8211.91</v>
      </c>
      <c r="D233" s="560">
        <f t="shared" si="6"/>
        <v>-1.6291698991466319E-2</v>
      </c>
      <c r="E233" s="560">
        <f t="shared" si="7"/>
        <v>-2.6437211318682302E-3</v>
      </c>
    </row>
    <row r="234" spans="1:5" x14ac:dyDescent="0.25">
      <c r="A234" s="562" t="s">
        <v>423</v>
      </c>
      <c r="B234" s="563">
        <v>12.85</v>
      </c>
      <c r="C234" s="564">
        <v>8179.26</v>
      </c>
      <c r="D234" s="560">
        <f t="shared" si="6"/>
        <v>3.1128404669261418E-3</v>
      </c>
      <c r="E234" s="560">
        <f t="shared" si="7"/>
        <v>3.9918036594997148E-3</v>
      </c>
    </row>
    <row r="235" spans="1:5" x14ac:dyDescent="0.25">
      <c r="A235" s="562" t="s">
        <v>424</v>
      </c>
      <c r="B235" s="563">
        <v>12.31</v>
      </c>
      <c r="C235" s="564">
        <v>8195.31</v>
      </c>
      <c r="D235" s="560">
        <f t="shared" si="6"/>
        <v>4.3866774979691235E-2</v>
      </c>
      <c r="E235" s="560">
        <f t="shared" si="7"/>
        <v>-1.9584372037176473E-3</v>
      </c>
    </row>
    <row r="236" spans="1:5" x14ac:dyDescent="0.25">
      <c r="A236" s="562" t="s">
        <v>425</v>
      </c>
      <c r="B236" s="563">
        <v>12.45</v>
      </c>
      <c r="C236" s="564">
        <v>8329.18</v>
      </c>
      <c r="D236" s="560">
        <f t="shared" si="6"/>
        <v>-1.1244979919678618E-2</v>
      </c>
      <c r="E236" s="560">
        <f t="shared" si="7"/>
        <v>-1.6072410489388008E-2</v>
      </c>
    </row>
    <row r="237" spans="1:5" x14ac:dyDescent="0.25">
      <c r="A237" s="562" t="s">
        <v>426</v>
      </c>
      <c r="B237" s="563">
        <v>12.52</v>
      </c>
      <c r="C237" s="564">
        <v>8324.14</v>
      </c>
      <c r="D237" s="560">
        <f t="shared" si="6"/>
        <v>-5.5910543130990647E-3</v>
      </c>
      <c r="E237" s="560">
        <f t="shared" si="7"/>
        <v>6.0546795224502149E-4</v>
      </c>
    </row>
    <row r="238" spans="1:5" x14ac:dyDescent="0.25">
      <c r="A238" s="562" t="s">
        <v>427</v>
      </c>
      <c r="B238" s="563">
        <v>12.57</v>
      </c>
      <c r="C238" s="564">
        <v>8442.82</v>
      </c>
      <c r="D238" s="560">
        <f t="shared" si="6"/>
        <v>-3.9777247414479484E-3</v>
      </c>
      <c r="E238" s="560">
        <f t="shared" si="7"/>
        <v>-1.4056914632788606E-2</v>
      </c>
    </row>
    <row r="239" spans="1:5" x14ac:dyDescent="0.25">
      <c r="A239" s="562" t="s">
        <v>428</v>
      </c>
      <c r="B239" s="563">
        <v>12.59</v>
      </c>
      <c r="C239" s="564">
        <v>8446.51</v>
      </c>
      <c r="D239" s="560">
        <f t="shared" si="6"/>
        <v>-1.5885623510722457E-3</v>
      </c>
      <c r="E239" s="560">
        <f t="shared" si="7"/>
        <v>-4.3686682428606719E-4</v>
      </c>
    </row>
    <row r="240" spans="1:5" x14ac:dyDescent="0.25">
      <c r="A240" s="562" t="s">
        <v>429</v>
      </c>
      <c r="B240" s="563">
        <v>12.32</v>
      </c>
      <c r="C240" s="564">
        <v>8386.4699999999993</v>
      </c>
      <c r="D240" s="560">
        <f t="shared" si="6"/>
        <v>2.1915584415584381E-2</v>
      </c>
      <c r="E240" s="560">
        <f t="shared" si="7"/>
        <v>7.1591503934314293E-3</v>
      </c>
    </row>
    <row r="241" spans="1:5" x14ac:dyDescent="0.25">
      <c r="A241" s="562" t="s">
        <v>430</v>
      </c>
      <c r="B241" s="563">
        <v>13.79</v>
      </c>
      <c r="C241" s="564">
        <v>8293.5</v>
      </c>
      <c r="D241" s="560">
        <f t="shared" si="6"/>
        <v>-0.10659898477157354</v>
      </c>
      <c r="E241" s="560">
        <f t="shared" si="7"/>
        <v>1.1209983722191999E-2</v>
      </c>
    </row>
    <row r="242" spans="1:5" x14ac:dyDescent="0.25">
      <c r="A242" s="562" t="s">
        <v>431</v>
      </c>
      <c r="B242" s="563">
        <v>13.77</v>
      </c>
      <c r="C242" s="564">
        <v>8227.08</v>
      </c>
      <c r="D242" s="560">
        <f t="shared" si="6"/>
        <v>1.4524328249818136E-3</v>
      </c>
      <c r="E242" s="560">
        <f t="shared" si="7"/>
        <v>8.0733382925655371E-3</v>
      </c>
    </row>
    <row r="243" spans="1:5" x14ac:dyDescent="0.25">
      <c r="A243" s="562" t="s">
        <v>432</v>
      </c>
      <c r="B243" s="563">
        <v>13.85</v>
      </c>
      <c r="C243" s="564">
        <v>8256.59</v>
      </c>
      <c r="D243" s="560">
        <f t="shared" si="6"/>
        <v>-5.7761732851985608E-3</v>
      </c>
      <c r="E243" s="560">
        <f t="shared" si="7"/>
        <v>-3.5741147374400593E-3</v>
      </c>
    </row>
    <row r="244" spans="1:5" x14ac:dyDescent="0.25">
      <c r="A244" s="562" t="s">
        <v>433</v>
      </c>
      <c r="B244" s="563">
        <v>13.88</v>
      </c>
      <c r="C244" s="564">
        <v>8229.17</v>
      </c>
      <c r="D244" s="560">
        <f t="shared" si="6"/>
        <v>-2.1613832853026754E-3</v>
      </c>
      <c r="E244" s="560">
        <f t="shared" si="7"/>
        <v>3.3320492832205522E-3</v>
      </c>
    </row>
    <row r="245" spans="1:5" x14ac:dyDescent="0.25">
      <c r="A245" s="562" t="s">
        <v>434</v>
      </c>
      <c r="B245" s="563">
        <v>13.97</v>
      </c>
      <c r="C245" s="564">
        <v>8279.11</v>
      </c>
      <c r="D245" s="560">
        <f t="shared" si="6"/>
        <v>-6.4423765211166677E-3</v>
      </c>
      <c r="E245" s="560">
        <f t="shared" si="7"/>
        <v>-6.0320493386367023E-3</v>
      </c>
    </row>
    <row r="246" spans="1:5" x14ac:dyDescent="0.25">
      <c r="A246" s="562" t="s">
        <v>435</v>
      </c>
      <c r="B246" s="563">
        <v>14.02</v>
      </c>
      <c r="C246" s="564">
        <v>8359.11</v>
      </c>
      <c r="D246" s="560">
        <f t="shared" si="6"/>
        <v>-3.5663338088444321E-3</v>
      </c>
      <c r="E246" s="560">
        <f t="shared" si="7"/>
        <v>-9.5703968484683166E-3</v>
      </c>
    </row>
    <row r="247" spans="1:5" x14ac:dyDescent="0.25">
      <c r="A247" s="562" t="s">
        <v>436</v>
      </c>
      <c r="B247" s="563">
        <v>14.13</v>
      </c>
      <c r="C247" s="564">
        <v>8384.07</v>
      </c>
      <c r="D247" s="560">
        <f t="shared" ref="D247:D310" si="8">(B246-B247)/B247</f>
        <v>-7.7848549186129651E-3</v>
      </c>
      <c r="E247" s="560">
        <f t="shared" ref="E247:E310" si="9">(C246-C247)/C247</f>
        <v>-2.9770743803426173E-3</v>
      </c>
    </row>
    <row r="248" spans="1:5" x14ac:dyDescent="0.25">
      <c r="A248" s="562" t="s">
        <v>437</v>
      </c>
      <c r="B248" s="563">
        <v>14.44</v>
      </c>
      <c r="C248" s="564">
        <v>8376.33</v>
      </c>
      <c r="D248" s="560">
        <f t="shared" si="8"/>
        <v>-2.1468144044321243E-2</v>
      </c>
      <c r="E248" s="560">
        <f t="shared" si="9"/>
        <v>9.2403236262179043E-4</v>
      </c>
    </row>
    <row r="249" spans="1:5" x14ac:dyDescent="0.25">
      <c r="A249" s="562" t="s">
        <v>438</v>
      </c>
      <c r="B249" s="563">
        <v>14.31</v>
      </c>
      <c r="C249" s="564">
        <v>8297.5</v>
      </c>
      <c r="D249" s="560">
        <f t="shared" si="8"/>
        <v>9.0845562543675051E-3</v>
      </c>
      <c r="E249" s="560">
        <f t="shared" si="9"/>
        <v>9.5004519433564243E-3</v>
      </c>
    </row>
    <row r="250" spans="1:5" x14ac:dyDescent="0.25">
      <c r="A250" s="562" t="s">
        <v>439</v>
      </c>
      <c r="B250" s="563">
        <v>14.53</v>
      </c>
      <c r="C250" s="564">
        <v>8295.11</v>
      </c>
      <c r="D250" s="560">
        <f t="shared" si="8"/>
        <v>-1.5141087405368125E-2</v>
      </c>
      <c r="E250" s="560">
        <f t="shared" si="9"/>
        <v>2.8812155595277434E-4</v>
      </c>
    </row>
    <row r="251" spans="1:5" x14ac:dyDescent="0.25">
      <c r="A251" s="562" t="s">
        <v>440</v>
      </c>
      <c r="B251" s="563">
        <v>14.21</v>
      </c>
      <c r="C251" s="564">
        <v>8284.36</v>
      </c>
      <c r="D251" s="560">
        <f t="shared" si="8"/>
        <v>2.2519352568613545E-2</v>
      </c>
      <c r="E251" s="560">
        <f t="shared" si="9"/>
        <v>1.297625887817526E-3</v>
      </c>
    </row>
    <row r="252" spans="1:5" x14ac:dyDescent="0.25">
      <c r="A252" s="562" t="s">
        <v>441</v>
      </c>
      <c r="B252" s="563">
        <v>13.94</v>
      </c>
      <c r="C252" s="564">
        <v>8251</v>
      </c>
      <c r="D252" s="560">
        <f t="shared" si="8"/>
        <v>1.9368723098995795E-2</v>
      </c>
      <c r="E252" s="560">
        <f t="shared" si="9"/>
        <v>4.043146285298822E-3</v>
      </c>
    </row>
    <row r="253" spans="1:5" x14ac:dyDescent="0.25">
      <c r="A253" s="562" t="s">
        <v>442</v>
      </c>
      <c r="B253" s="563">
        <v>13.91</v>
      </c>
      <c r="C253" s="564">
        <v>8303.74</v>
      </c>
      <c r="D253" s="560">
        <f t="shared" si="8"/>
        <v>2.1567217828899611E-3</v>
      </c>
      <c r="E253" s="560">
        <f t="shared" si="9"/>
        <v>-6.3513549316331899E-3</v>
      </c>
    </row>
    <row r="254" spans="1:5" x14ac:dyDescent="0.25">
      <c r="A254" s="562" t="s">
        <v>443</v>
      </c>
      <c r="B254" s="563">
        <v>13.65</v>
      </c>
      <c r="C254" s="564">
        <v>8221.32</v>
      </c>
      <c r="D254" s="560">
        <f t="shared" si="8"/>
        <v>1.9047619047619032E-2</v>
      </c>
      <c r="E254" s="560">
        <f t="shared" si="9"/>
        <v>1.0025154111505218E-2</v>
      </c>
    </row>
    <row r="255" spans="1:5" x14ac:dyDescent="0.25">
      <c r="A255" s="562" t="s">
        <v>444</v>
      </c>
      <c r="B255" s="563">
        <v>13.79</v>
      </c>
      <c r="C255" s="564">
        <v>8274.7800000000007</v>
      </c>
      <c r="D255" s="560">
        <f t="shared" si="8"/>
        <v>-1.0152284263959303E-2</v>
      </c>
      <c r="E255" s="560">
        <f t="shared" si="9"/>
        <v>-6.4605947227601148E-3</v>
      </c>
    </row>
    <row r="256" spans="1:5" x14ac:dyDescent="0.25">
      <c r="A256" s="562" t="s">
        <v>445</v>
      </c>
      <c r="B256" s="563">
        <v>14.07</v>
      </c>
      <c r="C256" s="564">
        <v>8356.56</v>
      </c>
      <c r="D256" s="560">
        <f t="shared" si="8"/>
        <v>-1.990049751243789E-2</v>
      </c>
      <c r="E256" s="560">
        <f t="shared" si="9"/>
        <v>-9.7863235589762815E-3</v>
      </c>
    </row>
    <row r="257" spans="1:5" x14ac:dyDescent="0.25">
      <c r="A257" s="562" t="s">
        <v>446</v>
      </c>
      <c r="B257" s="563">
        <v>14.02</v>
      </c>
      <c r="C257" s="564">
        <v>8377.51</v>
      </c>
      <c r="D257" s="560">
        <f t="shared" si="8"/>
        <v>3.5663338088445587E-3</v>
      </c>
      <c r="E257" s="560">
        <f t="shared" si="9"/>
        <v>-2.5007430608857198E-3</v>
      </c>
    </row>
    <row r="258" spans="1:5" x14ac:dyDescent="0.25">
      <c r="A258" s="562" t="s">
        <v>447</v>
      </c>
      <c r="B258" s="563">
        <v>13.99</v>
      </c>
      <c r="C258" s="564">
        <v>8372.91</v>
      </c>
      <c r="D258" s="560">
        <f t="shared" si="8"/>
        <v>2.1443888491779386E-3</v>
      </c>
      <c r="E258" s="560">
        <f t="shared" si="9"/>
        <v>5.4939083305569558E-4</v>
      </c>
    </row>
    <row r="259" spans="1:5" x14ac:dyDescent="0.25">
      <c r="A259" s="562" t="s">
        <v>448</v>
      </c>
      <c r="B259" s="563">
        <v>14.05</v>
      </c>
      <c r="C259" s="564">
        <v>8400.48</v>
      </c>
      <c r="D259" s="560">
        <f t="shared" si="8"/>
        <v>-4.2704626334519923E-3</v>
      </c>
      <c r="E259" s="560">
        <f t="shared" si="9"/>
        <v>-3.2819553168390034E-3</v>
      </c>
    </row>
    <row r="260" spans="1:5" x14ac:dyDescent="0.25">
      <c r="A260" s="562" t="s">
        <v>449</v>
      </c>
      <c r="B260" s="563">
        <v>14.02</v>
      </c>
      <c r="C260" s="564">
        <v>8378.43</v>
      </c>
      <c r="D260" s="560">
        <f t="shared" si="8"/>
        <v>2.1398002853067859E-3</v>
      </c>
      <c r="E260" s="560">
        <f t="shared" si="9"/>
        <v>2.6317579785233359E-3</v>
      </c>
    </row>
    <row r="261" spans="1:5" x14ac:dyDescent="0.25">
      <c r="A261" s="562" t="s">
        <v>450</v>
      </c>
      <c r="B261" s="563">
        <v>14.02</v>
      </c>
      <c r="C261" s="564">
        <v>8408.9599999999991</v>
      </c>
      <c r="D261" s="560">
        <f t="shared" si="8"/>
        <v>0</v>
      </c>
      <c r="E261" s="560">
        <f t="shared" si="9"/>
        <v>-3.6306511150010034E-3</v>
      </c>
    </row>
    <row r="262" spans="1:5" x14ac:dyDescent="0.25">
      <c r="A262" s="562" t="s">
        <v>451</v>
      </c>
      <c r="B262" s="563">
        <v>14.15</v>
      </c>
      <c r="C262" s="564">
        <v>8458.8700000000008</v>
      </c>
      <c r="D262" s="560">
        <f t="shared" si="8"/>
        <v>-9.1872791519435181E-3</v>
      </c>
      <c r="E262" s="560">
        <f t="shared" si="9"/>
        <v>-5.9003152903403964E-3</v>
      </c>
    </row>
    <row r="263" spans="1:5" x14ac:dyDescent="0.25">
      <c r="A263" s="562" t="s">
        <v>452</v>
      </c>
      <c r="B263" s="563">
        <v>14.16</v>
      </c>
      <c r="C263" s="564">
        <v>8407.0300000000007</v>
      </c>
      <c r="D263" s="560">
        <f t="shared" si="8"/>
        <v>-7.0621468926552165E-4</v>
      </c>
      <c r="E263" s="560">
        <f t="shared" si="9"/>
        <v>6.1662679923825819E-3</v>
      </c>
    </row>
    <row r="264" spans="1:5" x14ac:dyDescent="0.25">
      <c r="A264" s="562" t="s">
        <v>453</v>
      </c>
      <c r="B264" s="563">
        <v>14.25</v>
      </c>
      <c r="C264" s="564">
        <v>8267.31</v>
      </c>
      <c r="D264" s="560">
        <f t="shared" si="8"/>
        <v>-6.3157894736842008E-3</v>
      </c>
      <c r="E264" s="560">
        <f t="shared" si="9"/>
        <v>1.6900297678446939E-2</v>
      </c>
    </row>
    <row r="265" spans="1:5" x14ac:dyDescent="0.25">
      <c r="A265" s="562" t="s">
        <v>454</v>
      </c>
      <c r="B265" s="563">
        <v>14.01</v>
      </c>
      <c r="C265" s="564">
        <v>8246.14</v>
      </c>
      <c r="D265" s="560">
        <f t="shared" si="8"/>
        <v>1.7130620985010721E-2</v>
      </c>
      <c r="E265" s="560">
        <f t="shared" si="9"/>
        <v>2.5672617733873151E-3</v>
      </c>
    </row>
    <row r="266" spans="1:5" x14ac:dyDescent="0.25">
      <c r="A266" s="562" t="s">
        <v>455</v>
      </c>
      <c r="B266" s="563">
        <v>13.97</v>
      </c>
      <c r="C266" s="564">
        <v>8192.39</v>
      </c>
      <c r="D266" s="560">
        <f t="shared" si="8"/>
        <v>2.8632784538295737E-3</v>
      </c>
      <c r="E266" s="560">
        <f t="shared" si="9"/>
        <v>6.5609669461536872E-3</v>
      </c>
    </row>
    <row r="267" spans="1:5" x14ac:dyDescent="0.25">
      <c r="A267" s="562" t="s">
        <v>456</v>
      </c>
      <c r="B267" s="563">
        <v>13.7</v>
      </c>
      <c r="C267" s="564">
        <v>8234.51</v>
      </c>
      <c r="D267" s="560">
        <f t="shared" si="8"/>
        <v>1.9708029197080392E-2</v>
      </c>
      <c r="E267" s="560">
        <f t="shared" si="9"/>
        <v>-5.1150584552087253E-3</v>
      </c>
    </row>
    <row r="268" spans="1:5" x14ac:dyDescent="0.25">
      <c r="A268" s="562" t="s">
        <v>457</v>
      </c>
      <c r="B268" s="563">
        <v>13.61</v>
      </c>
      <c r="C268" s="564">
        <v>8160.56</v>
      </c>
      <c r="D268" s="560">
        <f t="shared" si="8"/>
        <v>6.6127847171197551E-3</v>
      </c>
      <c r="E268" s="560">
        <f t="shared" si="9"/>
        <v>9.0618781064044397E-3</v>
      </c>
    </row>
    <row r="269" spans="1:5" x14ac:dyDescent="0.25">
      <c r="A269" s="562" t="s">
        <v>458</v>
      </c>
      <c r="B269" s="563">
        <v>13.13</v>
      </c>
      <c r="C269" s="564">
        <v>7992.01</v>
      </c>
      <c r="D269" s="560">
        <f t="shared" si="8"/>
        <v>3.6557501904036449E-2</v>
      </c>
      <c r="E269" s="560">
        <f t="shared" si="9"/>
        <v>2.1089813451184391E-2</v>
      </c>
    </row>
    <row r="270" spans="1:5" x14ac:dyDescent="0.25">
      <c r="A270" s="562" t="s">
        <v>459</v>
      </c>
      <c r="B270" s="563">
        <v>12.84</v>
      </c>
      <c r="C270" s="564">
        <v>8002.31</v>
      </c>
      <c r="D270" s="560">
        <f t="shared" si="8"/>
        <v>2.2585669781931536E-2</v>
      </c>
      <c r="E270" s="560">
        <f t="shared" si="9"/>
        <v>-1.2871283416913592E-3</v>
      </c>
    </row>
    <row r="271" spans="1:5" x14ac:dyDescent="0.25">
      <c r="A271" s="562" t="s">
        <v>460</v>
      </c>
      <c r="B271" s="563">
        <v>11.93</v>
      </c>
      <c r="C271" s="564">
        <v>8014.93</v>
      </c>
      <c r="D271" s="560">
        <f t="shared" si="8"/>
        <v>7.6278290025146703E-2</v>
      </c>
      <c r="E271" s="560">
        <f t="shared" si="9"/>
        <v>-1.5745614746479246E-3</v>
      </c>
    </row>
    <row r="272" spans="1:5" x14ac:dyDescent="0.25">
      <c r="A272" s="562" t="s">
        <v>461</v>
      </c>
      <c r="B272" s="563">
        <v>11.75</v>
      </c>
      <c r="C272" s="564">
        <v>7966.23</v>
      </c>
      <c r="D272" s="560">
        <f t="shared" si="8"/>
        <v>1.5319148936170189E-2</v>
      </c>
      <c r="E272" s="560">
        <f t="shared" si="9"/>
        <v>6.1133057920748878E-3</v>
      </c>
    </row>
    <row r="273" spans="1:5" x14ac:dyDescent="0.25">
      <c r="A273" s="562" t="s">
        <v>462</v>
      </c>
      <c r="B273" s="563">
        <v>11.72</v>
      </c>
      <c r="C273" s="564">
        <v>8031.65</v>
      </c>
      <c r="D273" s="560">
        <f t="shared" si="8"/>
        <v>2.5597269624572832E-3</v>
      </c>
      <c r="E273" s="560">
        <f t="shared" si="9"/>
        <v>-8.1452752547733123E-3</v>
      </c>
    </row>
    <row r="274" spans="1:5" x14ac:dyDescent="0.25">
      <c r="A274" s="562" t="s">
        <v>463</v>
      </c>
      <c r="B274" s="563">
        <v>11.73</v>
      </c>
      <c r="C274" s="564">
        <v>8033.85</v>
      </c>
      <c r="D274" s="560">
        <f t="shared" si="8"/>
        <v>-8.5251491901106448E-4</v>
      </c>
      <c r="E274" s="560">
        <f t="shared" si="9"/>
        <v>-2.7384130896154741E-4</v>
      </c>
    </row>
    <row r="275" spans="1:5" x14ac:dyDescent="0.25">
      <c r="A275" s="562" t="s">
        <v>464</v>
      </c>
      <c r="B275" s="563">
        <v>11.6</v>
      </c>
      <c r="C275" s="564">
        <v>8036.24</v>
      </c>
      <c r="D275" s="560">
        <f t="shared" si="8"/>
        <v>1.1206896551724205E-2</v>
      </c>
      <c r="E275" s="560">
        <f t="shared" si="9"/>
        <v>-2.9740276547233758E-4</v>
      </c>
    </row>
    <row r="276" spans="1:5" x14ac:dyDescent="0.25">
      <c r="A276" s="562" t="s">
        <v>465</v>
      </c>
      <c r="B276" s="563">
        <v>11.52</v>
      </c>
      <c r="C276" s="564">
        <v>8047.87</v>
      </c>
      <c r="D276" s="560">
        <f t="shared" si="8"/>
        <v>6.944444444444451E-3</v>
      </c>
      <c r="E276" s="560">
        <f t="shared" si="9"/>
        <v>-1.4451028657272184E-3</v>
      </c>
    </row>
    <row r="277" spans="1:5" x14ac:dyDescent="0.25">
      <c r="A277" s="562" t="s">
        <v>466</v>
      </c>
      <c r="B277" s="563">
        <v>11.52</v>
      </c>
      <c r="C277" s="564">
        <v>8011.44</v>
      </c>
      <c r="D277" s="560">
        <f t="shared" si="8"/>
        <v>0</v>
      </c>
      <c r="E277" s="560">
        <f t="shared" si="9"/>
        <v>4.5472474361663191E-3</v>
      </c>
    </row>
    <row r="278" spans="1:5" x14ac:dyDescent="0.25">
      <c r="A278" s="562" t="s">
        <v>467</v>
      </c>
      <c r="B278" s="563">
        <v>11.44</v>
      </c>
      <c r="C278" s="564">
        <v>8074.2</v>
      </c>
      <c r="D278" s="560">
        <f t="shared" si="8"/>
        <v>6.9930069930069999E-3</v>
      </c>
      <c r="E278" s="560">
        <f t="shared" si="9"/>
        <v>-7.7729062941220457E-3</v>
      </c>
    </row>
    <row r="279" spans="1:5" x14ac:dyDescent="0.25">
      <c r="A279" s="562" t="s">
        <v>468</v>
      </c>
      <c r="B279" s="563">
        <v>11.33</v>
      </c>
      <c r="C279" s="564">
        <v>8082.68</v>
      </c>
      <c r="D279" s="560">
        <f t="shared" si="8"/>
        <v>9.7087378640776205E-3</v>
      </c>
      <c r="E279" s="560">
        <f t="shared" si="9"/>
        <v>-1.0491569627896283E-3</v>
      </c>
    </row>
    <row r="280" spans="1:5" x14ac:dyDescent="0.25">
      <c r="A280" s="562" t="s">
        <v>469</v>
      </c>
      <c r="B280" s="563">
        <v>11.18</v>
      </c>
      <c r="C280" s="564">
        <v>8094.33</v>
      </c>
      <c r="D280" s="560">
        <f t="shared" si="8"/>
        <v>1.341681574239717E-2</v>
      </c>
      <c r="E280" s="560">
        <f t="shared" si="9"/>
        <v>-1.4392791003084427E-3</v>
      </c>
    </row>
    <row r="281" spans="1:5" x14ac:dyDescent="0.25">
      <c r="A281" s="562" t="s">
        <v>470</v>
      </c>
      <c r="B281" s="563">
        <v>11.45</v>
      </c>
      <c r="C281" s="564">
        <v>8102.07</v>
      </c>
      <c r="D281" s="560">
        <f t="shared" si="8"/>
        <v>-2.3580786026200836E-2</v>
      </c>
      <c r="E281" s="560">
        <f t="shared" si="9"/>
        <v>-9.5531142041475599E-4</v>
      </c>
    </row>
    <row r="282" spans="1:5" x14ac:dyDescent="0.25">
      <c r="A282" s="562" t="s">
        <v>471</v>
      </c>
      <c r="B282" s="563">
        <v>11.63</v>
      </c>
      <c r="C282" s="564">
        <v>8089.99</v>
      </c>
      <c r="D282" s="560">
        <f t="shared" si="8"/>
        <v>-1.5477214101461865E-2</v>
      </c>
      <c r="E282" s="560">
        <f t="shared" si="9"/>
        <v>1.4932033290523136E-3</v>
      </c>
    </row>
    <row r="283" spans="1:5" x14ac:dyDescent="0.25">
      <c r="A283" s="562" t="s">
        <v>472</v>
      </c>
      <c r="B283" s="563">
        <v>11.6</v>
      </c>
      <c r="C283" s="564">
        <v>8029.01</v>
      </c>
      <c r="D283" s="560">
        <f t="shared" si="8"/>
        <v>2.5862068965518221E-3</v>
      </c>
      <c r="E283" s="560">
        <f t="shared" si="9"/>
        <v>7.5949587807213545E-3</v>
      </c>
    </row>
    <row r="284" spans="1:5" x14ac:dyDescent="0.25">
      <c r="A284" s="562" t="s">
        <v>473</v>
      </c>
      <c r="B284" s="563">
        <v>11.61</v>
      </c>
      <c r="C284" s="564">
        <v>8019.53</v>
      </c>
      <c r="D284" s="560">
        <f t="shared" si="8"/>
        <v>-8.6132644272177324E-4</v>
      </c>
      <c r="E284" s="560">
        <f t="shared" si="9"/>
        <v>1.182114163797688E-3</v>
      </c>
    </row>
    <row r="285" spans="1:5" x14ac:dyDescent="0.25">
      <c r="A285" s="562" t="s">
        <v>474</v>
      </c>
      <c r="B285" s="563">
        <v>11.66</v>
      </c>
      <c r="C285" s="564">
        <v>8018.64</v>
      </c>
      <c r="D285" s="560">
        <f t="shared" si="8"/>
        <v>-4.288164665523217E-3</v>
      </c>
      <c r="E285" s="560">
        <f t="shared" si="9"/>
        <v>1.1099139006108491E-4</v>
      </c>
    </row>
    <row r="286" spans="1:5" x14ac:dyDescent="0.25">
      <c r="A286" s="562" t="s">
        <v>475</v>
      </c>
      <c r="B286" s="563">
        <v>11.67</v>
      </c>
      <c r="C286" s="564">
        <v>8044.76</v>
      </c>
      <c r="D286" s="560">
        <f t="shared" si="8"/>
        <v>-8.5689802913451471E-4</v>
      </c>
      <c r="E286" s="560">
        <f t="shared" si="9"/>
        <v>-3.2468339639715655E-3</v>
      </c>
    </row>
    <row r="287" spans="1:5" x14ac:dyDescent="0.25">
      <c r="A287" s="562" t="s">
        <v>476</v>
      </c>
      <c r="B287" s="563">
        <v>11.74</v>
      </c>
      <c r="C287" s="564">
        <v>8025</v>
      </c>
      <c r="D287" s="560">
        <f t="shared" si="8"/>
        <v>-5.9625212947189334E-3</v>
      </c>
      <c r="E287" s="560">
        <f t="shared" si="9"/>
        <v>2.4623052959501829E-3</v>
      </c>
    </row>
    <row r="288" spans="1:5" x14ac:dyDescent="0.25">
      <c r="A288" s="562" t="s">
        <v>477</v>
      </c>
      <c r="B288" s="563">
        <v>11.75</v>
      </c>
      <c r="C288" s="564">
        <v>8018.24</v>
      </c>
      <c r="D288" s="560">
        <f t="shared" si="8"/>
        <v>-8.5106382978721593E-4</v>
      </c>
      <c r="E288" s="560">
        <f t="shared" si="9"/>
        <v>8.4307778265557264E-4</v>
      </c>
    </row>
    <row r="289" spans="1:5" x14ac:dyDescent="0.25">
      <c r="A289" s="562" t="s">
        <v>478</v>
      </c>
      <c r="B289" s="563">
        <v>11.82</v>
      </c>
      <c r="C289" s="564">
        <v>8017.71</v>
      </c>
      <c r="D289" s="560">
        <f t="shared" si="8"/>
        <v>-5.9221658206430015E-3</v>
      </c>
      <c r="E289" s="560">
        <f t="shared" si="9"/>
        <v>6.6103663015966565E-5</v>
      </c>
    </row>
    <row r="290" spans="1:5" x14ac:dyDescent="0.25">
      <c r="A290" s="562" t="s">
        <v>479</v>
      </c>
      <c r="B290" s="563">
        <v>11.76</v>
      </c>
      <c r="C290" s="564">
        <v>7964.09</v>
      </c>
      <c r="D290" s="560">
        <f t="shared" si="8"/>
        <v>5.1020408163265727E-3</v>
      </c>
      <c r="E290" s="560">
        <f t="shared" si="9"/>
        <v>6.7327215036494933E-3</v>
      </c>
    </row>
    <row r="291" spans="1:5" x14ac:dyDescent="0.25">
      <c r="A291" s="562" t="s">
        <v>480</v>
      </c>
      <c r="B291" s="563">
        <v>11.67</v>
      </c>
      <c r="C291" s="564">
        <v>7939.55</v>
      </c>
      <c r="D291" s="560">
        <f t="shared" si="8"/>
        <v>7.7120822622107846E-3</v>
      </c>
      <c r="E291" s="560">
        <f t="shared" si="9"/>
        <v>3.0908552751730215E-3</v>
      </c>
    </row>
    <row r="292" spans="1:5" x14ac:dyDescent="0.25">
      <c r="A292" s="562" t="s">
        <v>481</v>
      </c>
      <c r="B292" s="563">
        <v>11.59</v>
      </c>
      <c r="C292" s="564">
        <v>7765.6</v>
      </c>
      <c r="D292" s="560">
        <f t="shared" si="8"/>
        <v>6.9025021570319305E-3</v>
      </c>
      <c r="E292" s="560">
        <f t="shared" si="9"/>
        <v>2.2400072112908186E-2</v>
      </c>
    </row>
    <row r="293" spans="1:5" x14ac:dyDescent="0.25">
      <c r="A293" s="562" t="s">
        <v>482</v>
      </c>
      <c r="B293" s="563">
        <v>11.65</v>
      </c>
      <c r="C293" s="564">
        <v>7841.33</v>
      </c>
      <c r="D293" s="560">
        <f t="shared" si="8"/>
        <v>-5.1502145922747208E-3</v>
      </c>
      <c r="E293" s="560">
        <f t="shared" si="9"/>
        <v>-9.6578003986568049E-3</v>
      </c>
    </row>
    <row r="294" spans="1:5" x14ac:dyDescent="0.25">
      <c r="A294" s="562" t="s">
        <v>483</v>
      </c>
      <c r="B294" s="563">
        <v>11.8</v>
      </c>
      <c r="C294" s="564">
        <v>7863.93</v>
      </c>
      <c r="D294" s="560">
        <f t="shared" si="8"/>
        <v>-1.271186440677969E-2</v>
      </c>
      <c r="E294" s="560">
        <f t="shared" si="9"/>
        <v>-2.8738811255950097E-3</v>
      </c>
    </row>
    <row r="295" spans="1:5" x14ac:dyDescent="0.25">
      <c r="A295" s="562" t="s">
        <v>484</v>
      </c>
      <c r="B295" s="563">
        <v>11.75</v>
      </c>
      <c r="C295" s="564">
        <v>7911.04</v>
      </c>
      <c r="D295" s="560">
        <f t="shared" si="8"/>
        <v>4.255319148936231E-3</v>
      </c>
      <c r="E295" s="560">
        <f t="shared" si="9"/>
        <v>-5.9549692581505938E-3</v>
      </c>
    </row>
    <row r="296" spans="1:5" x14ac:dyDescent="0.25">
      <c r="A296" s="562" t="s">
        <v>485</v>
      </c>
      <c r="B296" s="563">
        <v>11.73</v>
      </c>
      <c r="C296" s="564">
        <v>7912.16</v>
      </c>
      <c r="D296" s="560">
        <f t="shared" si="8"/>
        <v>1.705029838022129E-3</v>
      </c>
      <c r="E296" s="560">
        <f t="shared" si="9"/>
        <v>-1.4155426583889745E-4</v>
      </c>
    </row>
    <row r="297" spans="1:5" x14ac:dyDescent="0.25">
      <c r="A297" s="562" t="s">
        <v>486</v>
      </c>
      <c r="B297" s="563">
        <v>11.77</v>
      </c>
      <c r="C297" s="564">
        <v>7754.51</v>
      </c>
      <c r="D297" s="560">
        <f t="shared" si="8"/>
        <v>-3.398470688190242E-3</v>
      </c>
      <c r="E297" s="560">
        <f t="shared" si="9"/>
        <v>2.0330104674569978E-2</v>
      </c>
    </row>
    <row r="298" spans="1:5" x14ac:dyDescent="0.25">
      <c r="A298" s="562" t="s">
        <v>487</v>
      </c>
      <c r="B298" s="563">
        <v>11.76</v>
      </c>
      <c r="C298" s="564">
        <v>7607.57</v>
      </c>
      <c r="D298" s="560">
        <f t="shared" si="8"/>
        <v>8.5034013605440363E-4</v>
      </c>
      <c r="E298" s="560">
        <f t="shared" si="9"/>
        <v>1.9314971797827759E-2</v>
      </c>
    </row>
    <row r="299" spans="1:5" x14ac:dyDescent="0.25">
      <c r="A299" s="562" t="s">
        <v>488</v>
      </c>
      <c r="B299" s="563">
        <v>11.77</v>
      </c>
      <c r="C299" s="564">
        <v>7590.61</v>
      </c>
      <c r="D299" s="560">
        <f t="shared" si="8"/>
        <v>-8.496176720475605E-4</v>
      </c>
      <c r="E299" s="560">
        <f t="shared" si="9"/>
        <v>2.2343395326594353E-3</v>
      </c>
    </row>
    <row r="300" spans="1:5" x14ac:dyDescent="0.25">
      <c r="A300" s="562" t="s">
        <v>489</v>
      </c>
      <c r="B300" s="563">
        <v>11.93</v>
      </c>
      <c r="C300" s="564">
        <v>7670.54</v>
      </c>
      <c r="D300" s="560">
        <f t="shared" si="8"/>
        <v>-1.3411567476948881E-2</v>
      </c>
      <c r="E300" s="560">
        <f t="shared" si="9"/>
        <v>-1.0420387612866929E-2</v>
      </c>
    </row>
    <row r="301" spans="1:5" x14ac:dyDescent="0.25">
      <c r="A301" s="562" t="s">
        <v>490</v>
      </c>
      <c r="B301" s="563">
        <v>12.31</v>
      </c>
      <c r="C301" s="564">
        <v>7759.59</v>
      </c>
      <c r="D301" s="560">
        <f t="shared" si="8"/>
        <v>-3.0869212022745798E-2</v>
      </c>
      <c r="E301" s="560">
        <f t="shared" si="9"/>
        <v>-1.147612180540469E-2</v>
      </c>
    </row>
    <row r="302" spans="1:5" x14ac:dyDescent="0.25">
      <c r="A302" s="562" t="s">
        <v>491</v>
      </c>
      <c r="B302" s="563">
        <v>12.41</v>
      </c>
      <c r="C302" s="564">
        <v>7849.75</v>
      </c>
      <c r="D302" s="560">
        <f t="shared" si="8"/>
        <v>-8.0580177276389723E-3</v>
      </c>
      <c r="E302" s="560">
        <f t="shared" si="9"/>
        <v>-1.148571610560844E-2</v>
      </c>
    </row>
    <row r="303" spans="1:5" x14ac:dyDescent="0.25">
      <c r="A303" s="562" t="s">
        <v>492</v>
      </c>
      <c r="B303" s="563">
        <v>12.32</v>
      </c>
      <c r="C303" s="564">
        <v>7831.09</v>
      </c>
      <c r="D303" s="560">
        <f t="shared" si="8"/>
        <v>7.3051948051947938E-3</v>
      </c>
      <c r="E303" s="560">
        <f t="shared" si="9"/>
        <v>2.382810055815966E-3</v>
      </c>
    </row>
    <row r="304" spans="1:5" x14ac:dyDescent="0.25">
      <c r="A304" s="562" t="s">
        <v>493</v>
      </c>
      <c r="B304" s="563">
        <v>12.15</v>
      </c>
      <c r="C304" s="564">
        <v>7794.77</v>
      </c>
      <c r="D304" s="560">
        <f t="shared" si="8"/>
        <v>1.3991769547325096E-2</v>
      </c>
      <c r="E304" s="560">
        <f t="shared" si="9"/>
        <v>4.6595345340529233E-3</v>
      </c>
    </row>
    <row r="305" spans="1:5" x14ac:dyDescent="0.25">
      <c r="A305" s="562" t="s">
        <v>494</v>
      </c>
      <c r="B305" s="563">
        <v>12.51</v>
      </c>
      <c r="C305" s="564">
        <v>7743.02</v>
      </c>
      <c r="D305" s="560">
        <f t="shared" si="8"/>
        <v>-2.8776978417266143E-2</v>
      </c>
      <c r="E305" s="560">
        <f t="shared" si="9"/>
        <v>6.6834387616201427E-3</v>
      </c>
    </row>
    <row r="306" spans="1:5" x14ac:dyDescent="0.25">
      <c r="A306" s="562" t="s">
        <v>495</v>
      </c>
      <c r="B306" s="563">
        <v>12.42</v>
      </c>
      <c r="C306" s="564">
        <v>7758.3</v>
      </c>
      <c r="D306" s="560">
        <f t="shared" si="8"/>
        <v>7.2463768115941917E-3</v>
      </c>
      <c r="E306" s="560">
        <f t="shared" si="9"/>
        <v>-1.9695036283721621E-3</v>
      </c>
    </row>
    <row r="307" spans="1:5" x14ac:dyDescent="0.25">
      <c r="A307" s="562" t="s">
        <v>496</v>
      </c>
      <c r="B307" s="563">
        <v>12.52</v>
      </c>
      <c r="C307" s="564">
        <v>7638.65</v>
      </c>
      <c r="D307" s="560">
        <f t="shared" si="8"/>
        <v>-7.987220447284317E-3</v>
      </c>
      <c r="E307" s="560">
        <f t="shared" si="9"/>
        <v>1.5663762575847898E-2</v>
      </c>
    </row>
    <row r="308" spans="1:5" x14ac:dyDescent="0.25">
      <c r="A308" s="562" t="s">
        <v>497</v>
      </c>
      <c r="B308" s="563">
        <v>12.64</v>
      </c>
      <c r="C308" s="564">
        <v>7685.32</v>
      </c>
      <c r="D308" s="560">
        <f t="shared" si="8"/>
        <v>-9.4936708860760277E-3</v>
      </c>
      <c r="E308" s="560">
        <f t="shared" si="9"/>
        <v>-6.0726163647057086E-3</v>
      </c>
    </row>
    <row r="309" spans="1:5" x14ac:dyDescent="0.25">
      <c r="A309" s="562" t="s">
        <v>498</v>
      </c>
      <c r="B309" s="563">
        <v>12.58</v>
      </c>
      <c r="C309" s="564">
        <v>7667.57</v>
      </c>
      <c r="D309" s="560">
        <f t="shared" si="8"/>
        <v>4.7694753577106914E-3</v>
      </c>
      <c r="E309" s="560">
        <f t="shared" si="9"/>
        <v>2.3149446304370227E-3</v>
      </c>
    </row>
    <row r="310" spans="1:5" x14ac:dyDescent="0.25">
      <c r="A310" s="562" t="s">
        <v>499</v>
      </c>
      <c r="B310" s="563">
        <v>12.64</v>
      </c>
      <c r="C310" s="564">
        <v>7736.4</v>
      </c>
      <c r="D310" s="560">
        <f t="shared" si="8"/>
        <v>-4.7468354430380139E-3</v>
      </c>
      <c r="E310" s="560">
        <f t="shared" si="9"/>
        <v>-8.8969029522775363E-3</v>
      </c>
    </row>
    <row r="311" spans="1:5" x14ac:dyDescent="0.25">
      <c r="A311" s="562" t="s">
        <v>500</v>
      </c>
      <c r="B311" s="563">
        <v>12.65</v>
      </c>
      <c r="C311" s="564">
        <v>7756.61</v>
      </c>
      <c r="D311" s="560">
        <f t="shared" ref="D311:D374" si="10">(B310-B311)/B311</f>
        <v>-7.9051383399207794E-4</v>
      </c>
      <c r="E311" s="560">
        <f t="shared" ref="E311:E374" si="11">(C310-C311)/C311</f>
        <v>-2.6055196793444606E-3</v>
      </c>
    </row>
    <row r="312" spans="1:5" x14ac:dyDescent="0.25">
      <c r="A312" s="562" t="s">
        <v>501</v>
      </c>
      <c r="B312" s="563">
        <v>12.6</v>
      </c>
      <c r="C312" s="564">
        <v>7837.77</v>
      </c>
      <c r="D312" s="560">
        <f t="shared" si="10"/>
        <v>3.9682539682540244E-3</v>
      </c>
      <c r="E312" s="560">
        <f t="shared" si="11"/>
        <v>-1.035498617591493E-2</v>
      </c>
    </row>
    <row r="313" spans="1:5" x14ac:dyDescent="0.25">
      <c r="A313" s="562" t="s">
        <v>502</v>
      </c>
      <c r="B313" s="563">
        <v>12.38</v>
      </c>
      <c r="C313" s="564">
        <v>7901.67</v>
      </c>
      <c r="D313" s="560">
        <f t="shared" si="10"/>
        <v>1.7770597738287468E-2</v>
      </c>
      <c r="E313" s="560">
        <f t="shared" si="11"/>
        <v>-8.0868980861007397E-3</v>
      </c>
    </row>
    <row r="314" spans="1:5" x14ac:dyDescent="0.25">
      <c r="A314" s="562" t="s">
        <v>503</v>
      </c>
      <c r="B314" s="563">
        <v>12.29</v>
      </c>
      <c r="C314" s="564">
        <v>7832.15</v>
      </c>
      <c r="D314" s="560">
        <f t="shared" si="10"/>
        <v>7.3230268510985873E-3</v>
      </c>
      <c r="E314" s="560">
        <f t="shared" si="11"/>
        <v>8.8762344949982371E-3</v>
      </c>
    </row>
    <row r="315" spans="1:5" x14ac:dyDescent="0.25">
      <c r="A315" s="562" t="s">
        <v>504</v>
      </c>
      <c r="B315" s="563">
        <v>12.34</v>
      </c>
      <c r="C315" s="564">
        <v>7801.84</v>
      </c>
      <c r="D315" s="560">
        <f t="shared" si="10"/>
        <v>-4.0518638573744502E-3</v>
      </c>
      <c r="E315" s="560">
        <f t="shared" si="11"/>
        <v>3.8849809788459506E-3</v>
      </c>
    </row>
    <row r="316" spans="1:5" x14ac:dyDescent="0.25">
      <c r="A316" s="562" t="s">
        <v>505</v>
      </c>
      <c r="B316" s="563">
        <v>11.84</v>
      </c>
      <c r="C316" s="564">
        <v>7597.5</v>
      </c>
      <c r="D316" s="560">
        <f t="shared" si="10"/>
        <v>4.2229729729729729E-2</v>
      </c>
      <c r="E316" s="560">
        <f t="shared" si="11"/>
        <v>2.6895689371503804E-2</v>
      </c>
    </row>
    <row r="317" spans="1:5" x14ac:dyDescent="0.25">
      <c r="A317" s="562" t="s">
        <v>506</v>
      </c>
      <c r="B317" s="563">
        <v>11.81</v>
      </c>
      <c r="C317" s="564">
        <v>7598.05</v>
      </c>
      <c r="D317" s="560">
        <f t="shared" si="10"/>
        <v>2.5402201524131547E-3</v>
      </c>
      <c r="E317" s="560">
        <f t="shared" si="11"/>
        <v>-7.2386994031387253E-5</v>
      </c>
    </row>
    <row r="318" spans="1:5" x14ac:dyDescent="0.25">
      <c r="A318" s="562" t="s">
        <v>507</v>
      </c>
      <c r="B318" s="563">
        <v>11.9</v>
      </c>
      <c r="C318" s="564">
        <v>7527.08</v>
      </c>
      <c r="D318" s="560">
        <f t="shared" si="10"/>
        <v>-7.5630252100840215E-3</v>
      </c>
      <c r="E318" s="560">
        <f t="shared" si="11"/>
        <v>9.4286230517013573E-3</v>
      </c>
    </row>
    <row r="319" spans="1:5" x14ac:dyDescent="0.25">
      <c r="A319" s="562" t="s">
        <v>508</v>
      </c>
      <c r="B319" s="563">
        <v>11.79</v>
      </c>
      <c r="C319" s="564">
        <v>7491.87</v>
      </c>
      <c r="D319" s="560">
        <f t="shared" si="10"/>
        <v>9.3299406276506538E-3</v>
      </c>
      <c r="E319" s="560">
        <f t="shared" si="11"/>
        <v>4.6997612078159444E-3</v>
      </c>
    </row>
    <row r="320" spans="1:5" x14ac:dyDescent="0.25">
      <c r="A320" s="562" t="s">
        <v>509</v>
      </c>
      <c r="B320" s="563">
        <v>11.95</v>
      </c>
      <c r="C320" s="564">
        <v>7616.59</v>
      </c>
      <c r="D320" s="560">
        <f t="shared" si="10"/>
        <v>-1.3389121338912147E-2</v>
      </c>
      <c r="E320" s="560">
        <f t="shared" si="11"/>
        <v>-1.6374781890583615E-2</v>
      </c>
    </row>
    <row r="321" spans="1:5" x14ac:dyDescent="0.25">
      <c r="A321" s="562" t="s">
        <v>510</v>
      </c>
      <c r="B321" s="563">
        <v>11.89</v>
      </c>
      <c r="C321" s="564">
        <v>7566.11</v>
      </c>
      <c r="D321" s="560">
        <f t="shared" si="10"/>
        <v>5.0462573591252072E-3</v>
      </c>
      <c r="E321" s="560">
        <f t="shared" si="11"/>
        <v>6.671856475784845E-3</v>
      </c>
    </row>
    <row r="322" spans="1:5" x14ac:dyDescent="0.25">
      <c r="A322" s="562" t="s">
        <v>511</v>
      </c>
      <c r="B322" s="563">
        <v>11.9</v>
      </c>
      <c r="C322" s="564">
        <v>7757.92</v>
      </c>
      <c r="D322" s="560">
        <f t="shared" si="10"/>
        <v>-8.4033613445376357E-4</v>
      </c>
      <c r="E322" s="560">
        <f t="shared" si="11"/>
        <v>-2.4724410666776712E-2</v>
      </c>
    </row>
    <row r="323" spans="1:5" x14ac:dyDescent="0.25">
      <c r="A323" s="562" t="s">
        <v>512</v>
      </c>
      <c r="B323" s="563">
        <v>11.68</v>
      </c>
      <c r="C323" s="564">
        <v>7766.26</v>
      </c>
      <c r="D323" s="560">
        <f t="shared" si="10"/>
        <v>1.8835616438356219E-2</v>
      </c>
      <c r="E323" s="560">
        <f t="shared" si="11"/>
        <v>-1.0738759711882097E-3</v>
      </c>
    </row>
    <row r="324" spans="1:5" x14ac:dyDescent="0.25">
      <c r="A324" s="562" t="s">
        <v>513</v>
      </c>
      <c r="B324" s="563">
        <v>11.54</v>
      </c>
      <c r="C324" s="564">
        <v>7662.29</v>
      </c>
      <c r="D324" s="560">
        <f t="shared" si="10"/>
        <v>1.2131715771230553E-2</v>
      </c>
      <c r="E324" s="560">
        <f t="shared" si="11"/>
        <v>1.3569050505788773E-2</v>
      </c>
    </row>
    <row r="325" spans="1:5" x14ac:dyDescent="0.25">
      <c r="A325" s="562" t="s">
        <v>514</v>
      </c>
      <c r="B325" s="563">
        <v>11.53</v>
      </c>
      <c r="C325" s="564">
        <v>7664.26</v>
      </c>
      <c r="D325" s="560">
        <f t="shared" si="10"/>
        <v>8.6730268863831632E-4</v>
      </c>
      <c r="E325" s="560">
        <f t="shared" si="11"/>
        <v>-2.5703720907175053E-4</v>
      </c>
    </row>
    <row r="326" spans="1:5" x14ac:dyDescent="0.25">
      <c r="A326" s="562" t="s">
        <v>515</v>
      </c>
      <c r="B326" s="563">
        <v>11.39</v>
      </c>
      <c r="C326" s="564">
        <v>7582.82</v>
      </c>
      <c r="D326" s="560">
        <f t="shared" si="10"/>
        <v>1.229148375768207E-2</v>
      </c>
      <c r="E326" s="560">
        <f t="shared" si="11"/>
        <v>1.0740067679306711E-2</v>
      </c>
    </row>
    <row r="327" spans="1:5" x14ac:dyDescent="0.25">
      <c r="A327" s="562" t="s">
        <v>516</v>
      </c>
      <c r="B327" s="563">
        <v>11.4</v>
      </c>
      <c r="C327" s="564">
        <v>7506.42</v>
      </c>
      <c r="D327" s="560">
        <f t="shared" si="10"/>
        <v>-8.7719298245612161E-4</v>
      </c>
      <c r="E327" s="560">
        <f t="shared" si="11"/>
        <v>1.0177954337753502E-2</v>
      </c>
    </row>
    <row r="328" spans="1:5" x14ac:dyDescent="0.25">
      <c r="A328" s="562" t="s">
        <v>517</v>
      </c>
      <c r="B328" s="563">
        <v>11.49</v>
      </c>
      <c r="C328" s="564">
        <v>7557.82</v>
      </c>
      <c r="D328" s="560">
        <f t="shared" si="10"/>
        <v>-7.8328981723237469E-3</v>
      </c>
      <c r="E328" s="560">
        <f t="shared" si="11"/>
        <v>-6.8009029058643412E-3</v>
      </c>
    </row>
    <row r="329" spans="1:5" x14ac:dyDescent="0.25">
      <c r="A329" s="562" t="s">
        <v>518</v>
      </c>
      <c r="B329" s="563">
        <v>11.57</v>
      </c>
      <c r="C329" s="564">
        <v>7459.29</v>
      </c>
      <c r="D329" s="560">
        <f t="shared" si="10"/>
        <v>-6.9144338807260218E-3</v>
      </c>
      <c r="E329" s="560">
        <f t="shared" si="11"/>
        <v>1.3209031958805698E-2</v>
      </c>
    </row>
    <row r="330" spans="1:5" x14ac:dyDescent="0.25">
      <c r="A330" s="562" t="s">
        <v>519</v>
      </c>
      <c r="B330" s="563">
        <v>11.82</v>
      </c>
      <c r="C330" s="564">
        <v>7553.77</v>
      </c>
      <c r="D330" s="560">
        <f t="shared" si="10"/>
        <v>-2.1150592216582064E-2</v>
      </c>
      <c r="E330" s="560">
        <f t="shared" si="11"/>
        <v>-1.2507661737119407E-2</v>
      </c>
    </row>
    <row r="331" spans="1:5" x14ac:dyDescent="0.25">
      <c r="A331" s="562" t="s">
        <v>520</v>
      </c>
      <c r="B331" s="563">
        <v>11.83</v>
      </c>
      <c r="C331" s="564">
        <v>7519.83</v>
      </c>
      <c r="D331" s="560">
        <f t="shared" si="10"/>
        <v>-8.4530853761621188E-4</v>
      </c>
      <c r="E331" s="560">
        <f t="shared" si="11"/>
        <v>4.5133999039872587E-3</v>
      </c>
    </row>
    <row r="332" spans="1:5" x14ac:dyDescent="0.25">
      <c r="A332" s="562" t="s">
        <v>521</v>
      </c>
      <c r="B332" s="563">
        <v>11.81</v>
      </c>
      <c r="C332" s="564">
        <v>7517.46</v>
      </c>
      <c r="D332" s="560">
        <f t="shared" si="10"/>
        <v>1.6934801016087698E-3</v>
      </c>
      <c r="E332" s="560">
        <f t="shared" si="11"/>
        <v>3.1526606061088331E-4</v>
      </c>
    </row>
    <row r="333" spans="1:5" x14ac:dyDescent="0.25">
      <c r="A333" s="562" t="s">
        <v>522</v>
      </c>
      <c r="B333" s="563">
        <v>11.64</v>
      </c>
      <c r="C333" s="564">
        <v>7338.62</v>
      </c>
      <c r="D333" s="560">
        <f t="shared" si="10"/>
        <v>1.4604810996563567E-2</v>
      </c>
      <c r="E333" s="560">
        <f t="shared" si="11"/>
        <v>2.4369704385838228E-2</v>
      </c>
    </row>
    <row r="334" spans="1:5" x14ac:dyDescent="0.25">
      <c r="A334" s="562" t="s">
        <v>523</v>
      </c>
      <c r="B334" s="563">
        <v>11.44</v>
      </c>
      <c r="C334" s="564">
        <v>7285.53</v>
      </c>
      <c r="D334" s="560">
        <f t="shared" si="10"/>
        <v>1.7482517482517577E-2</v>
      </c>
      <c r="E334" s="560">
        <f t="shared" si="11"/>
        <v>7.2870470645238095E-3</v>
      </c>
    </row>
    <row r="335" spans="1:5" x14ac:dyDescent="0.25">
      <c r="A335" s="562" t="s">
        <v>524</v>
      </c>
      <c r="B335" s="563">
        <v>11.4</v>
      </c>
      <c r="C335" s="564">
        <v>7292.93</v>
      </c>
      <c r="D335" s="560">
        <f t="shared" si="10"/>
        <v>3.5087719298244864E-3</v>
      </c>
      <c r="E335" s="560">
        <f t="shared" si="11"/>
        <v>-1.0146813420669808E-3</v>
      </c>
    </row>
    <row r="336" spans="1:5" x14ac:dyDescent="0.25">
      <c r="A336" s="562" t="s">
        <v>525</v>
      </c>
      <c r="B336" s="563">
        <v>11.82</v>
      </c>
      <c r="C336" s="564">
        <v>7463.96</v>
      </c>
      <c r="D336" s="560">
        <f t="shared" si="10"/>
        <v>-3.5532994923857864E-2</v>
      </c>
      <c r="E336" s="560">
        <f t="shared" si="11"/>
        <v>-2.2914109936280441E-2</v>
      </c>
    </row>
    <row r="337" spans="1:5" x14ac:dyDescent="0.25">
      <c r="A337" s="562" t="s">
        <v>526</v>
      </c>
      <c r="B337" s="563">
        <v>11.91</v>
      </c>
      <c r="C337" s="564">
        <v>7471.4</v>
      </c>
      <c r="D337" s="560">
        <f t="shared" si="10"/>
        <v>-7.5566750629722798E-3</v>
      </c>
      <c r="E337" s="560">
        <f t="shared" si="11"/>
        <v>-9.9579730706421832E-4</v>
      </c>
    </row>
    <row r="338" spans="1:5" x14ac:dyDescent="0.25">
      <c r="A338" s="562" t="s">
        <v>527</v>
      </c>
      <c r="B338" s="563">
        <v>12.15</v>
      </c>
      <c r="C338" s="564">
        <v>7615.03</v>
      </c>
      <c r="D338" s="560">
        <f t="shared" si="10"/>
        <v>-1.9753086419753103E-2</v>
      </c>
      <c r="E338" s="560">
        <f t="shared" si="11"/>
        <v>-1.8861383343204179E-2</v>
      </c>
    </row>
    <row r="339" spans="1:5" x14ac:dyDescent="0.25">
      <c r="A339" s="562" t="s">
        <v>528</v>
      </c>
      <c r="B339" s="563">
        <v>12.04</v>
      </c>
      <c r="C339" s="564">
        <v>7534.33</v>
      </c>
      <c r="D339" s="560">
        <f t="shared" si="10"/>
        <v>9.1362126245848191E-3</v>
      </c>
      <c r="E339" s="560">
        <f t="shared" si="11"/>
        <v>1.0710972309415678E-2</v>
      </c>
    </row>
    <row r="340" spans="1:5" x14ac:dyDescent="0.25">
      <c r="A340" s="562" t="s">
        <v>529</v>
      </c>
      <c r="B340" s="563">
        <v>11.82</v>
      </c>
      <c r="C340" s="564">
        <v>7552.34</v>
      </c>
      <c r="D340" s="560">
        <f t="shared" si="10"/>
        <v>1.8612521150592119E-2</v>
      </c>
      <c r="E340" s="560">
        <f t="shared" si="11"/>
        <v>-2.384691367178943E-3</v>
      </c>
    </row>
    <row r="341" spans="1:5" x14ac:dyDescent="0.25">
      <c r="A341" s="562" t="s">
        <v>530</v>
      </c>
      <c r="B341" s="563">
        <v>11.5</v>
      </c>
      <c r="C341" s="564">
        <v>7540.9</v>
      </c>
      <c r="D341" s="560">
        <f t="shared" si="10"/>
        <v>2.7826086956521764E-2</v>
      </c>
      <c r="E341" s="560">
        <f t="shared" si="11"/>
        <v>1.5170602978425002E-3</v>
      </c>
    </row>
    <row r="342" spans="1:5" x14ac:dyDescent="0.25">
      <c r="A342" s="562" t="s">
        <v>531</v>
      </c>
      <c r="B342" s="563">
        <v>11.57</v>
      </c>
      <c r="C342" s="564">
        <v>7542.58</v>
      </c>
      <c r="D342" s="560">
        <f t="shared" si="10"/>
        <v>-6.0501296456352879E-3</v>
      </c>
      <c r="E342" s="560">
        <f t="shared" si="11"/>
        <v>-2.2273545656795036E-4</v>
      </c>
    </row>
    <row r="343" spans="1:5" x14ac:dyDescent="0.25">
      <c r="A343" s="562" t="s">
        <v>532</v>
      </c>
      <c r="B343" s="563">
        <v>11.8</v>
      </c>
      <c r="C343" s="564">
        <v>7542.98</v>
      </c>
      <c r="D343" s="560">
        <f t="shared" si="10"/>
        <v>-1.949152542372885E-2</v>
      </c>
      <c r="E343" s="560">
        <f t="shared" si="11"/>
        <v>-5.3029439293175407E-5</v>
      </c>
    </row>
    <row r="344" spans="1:5" x14ac:dyDescent="0.25">
      <c r="A344" s="562" t="s">
        <v>533</v>
      </c>
      <c r="B344" s="563">
        <v>11.2</v>
      </c>
      <c r="C344" s="564">
        <v>7427.74</v>
      </c>
      <c r="D344" s="560">
        <f t="shared" si="10"/>
        <v>5.35714285714287E-2</v>
      </c>
      <c r="E344" s="560">
        <f t="shared" si="11"/>
        <v>1.5514813388729247E-2</v>
      </c>
    </row>
    <row r="345" spans="1:5" x14ac:dyDescent="0.25">
      <c r="A345" s="562" t="s">
        <v>534</v>
      </c>
      <c r="B345" s="563">
        <v>11.58</v>
      </c>
      <c r="C345" s="564">
        <v>7480.42</v>
      </c>
      <c r="D345" s="560">
        <f t="shared" si="10"/>
        <v>-3.2815198618307492E-2</v>
      </c>
      <c r="E345" s="560">
        <f t="shared" si="11"/>
        <v>-7.0423853206103785E-3</v>
      </c>
    </row>
    <row r="346" spans="1:5" x14ac:dyDescent="0.25">
      <c r="A346" s="562" t="s">
        <v>535</v>
      </c>
      <c r="B346" s="563">
        <v>12.01</v>
      </c>
      <c r="C346" s="564">
        <v>7592.82</v>
      </c>
      <c r="D346" s="560">
        <f t="shared" si="10"/>
        <v>-3.5803497085761839E-2</v>
      </c>
      <c r="E346" s="560">
        <f t="shared" si="11"/>
        <v>-1.4803459057372575E-2</v>
      </c>
    </row>
    <row r="347" spans="1:5" x14ac:dyDescent="0.25">
      <c r="A347" s="562" t="s">
        <v>536</v>
      </c>
      <c r="B347" s="563">
        <v>12.21</v>
      </c>
      <c r="C347" s="564">
        <v>7635.81</v>
      </c>
      <c r="D347" s="560">
        <f t="shared" si="10"/>
        <v>-1.6380016380016467E-2</v>
      </c>
      <c r="E347" s="560">
        <f t="shared" si="11"/>
        <v>-5.630051035843046E-3</v>
      </c>
    </row>
    <row r="348" spans="1:5" x14ac:dyDescent="0.25">
      <c r="A348" s="562" t="s">
        <v>537</v>
      </c>
      <c r="B348" s="563">
        <v>12.45</v>
      </c>
      <c r="C348" s="564">
        <v>7705.44</v>
      </c>
      <c r="D348" s="560">
        <f t="shared" si="10"/>
        <v>-1.9277108433734817E-2</v>
      </c>
      <c r="E348" s="560">
        <f t="shared" si="11"/>
        <v>-9.0364729334079831E-3</v>
      </c>
    </row>
    <row r="349" spans="1:5" x14ac:dyDescent="0.25">
      <c r="A349" s="562" t="s">
        <v>538</v>
      </c>
      <c r="B349" s="563">
        <v>12.69</v>
      </c>
      <c r="C349" s="564">
        <v>7815.88</v>
      </c>
      <c r="D349" s="560">
        <f t="shared" si="10"/>
        <v>-1.891252955082744E-2</v>
      </c>
      <c r="E349" s="560">
        <f t="shared" si="11"/>
        <v>-1.4130206707370188E-2</v>
      </c>
    </row>
    <row r="350" spans="1:5" x14ac:dyDescent="0.25">
      <c r="A350" s="562" t="s">
        <v>539</v>
      </c>
      <c r="B350" s="563">
        <v>12.83</v>
      </c>
      <c r="C350" s="564">
        <v>7852.75</v>
      </c>
      <c r="D350" s="560">
        <f t="shared" si="10"/>
        <v>-1.091192517537027E-2</v>
      </c>
      <c r="E350" s="560">
        <f t="shared" si="11"/>
        <v>-4.6951704816783789E-3</v>
      </c>
    </row>
    <row r="351" spans="1:5" x14ac:dyDescent="0.25">
      <c r="A351" s="562" t="s">
        <v>540</v>
      </c>
      <c r="B351" s="563">
        <v>12.59</v>
      </c>
      <c r="C351" s="564">
        <v>7820.25</v>
      </c>
      <c r="D351" s="560">
        <f t="shared" si="10"/>
        <v>1.9062748212867374E-2</v>
      </c>
      <c r="E351" s="560">
        <f t="shared" si="11"/>
        <v>4.1558773696493082E-3</v>
      </c>
    </row>
    <row r="352" spans="1:5" x14ac:dyDescent="0.25">
      <c r="A352" s="562" t="s">
        <v>541</v>
      </c>
      <c r="B352" s="563">
        <v>12.43</v>
      </c>
      <c r="C352" s="564">
        <v>7887.26</v>
      </c>
      <c r="D352" s="560">
        <f t="shared" si="10"/>
        <v>1.2872083668543857E-2</v>
      </c>
      <c r="E352" s="560">
        <f t="shared" si="11"/>
        <v>-8.4959795924060087E-3</v>
      </c>
    </row>
    <row r="353" spans="1:5" x14ac:dyDescent="0.25">
      <c r="A353" s="562" t="s">
        <v>542</v>
      </c>
      <c r="B353" s="563">
        <v>12.5</v>
      </c>
      <c r="C353" s="564">
        <v>7948.77</v>
      </c>
      <c r="D353" s="560">
        <f t="shared" si="10"/>
        <v>-5.6000000000000225E-3</v>
      </c>
      <c r="E353" s="560">
        <f t="shared" si="11"/>
        <v>-7.7383041652985575E-3</v>
      </c>
    </row>
    <row r="354" spans="1:5" x14ac:dyDescent="0.25">
      <c r="A354" s="562" t="s">
        <v>543</v>
      </c>
      <c r="B354" s="563">
        <v>12.51</v>
      </c>
      <c r="C354" s="564">
        <v>7933.29</v>
      </c>
      <c r="D354" s="560">
        <f t="shared" si="10"/>
        <v>-7.9936051159071038E-4</v>
      </c>
      <c r="E354" s="560">
        <f t="shared" si="11"/>
        <v>1.9512711624055685E-3</v>
      </c>
    </row>
    <row r="355" spans="1:5" x14ac:dyDescent="0.25">
      <c r="A355" s="562" t="s">
        <v>544</v>
      </c>
      <c r="B355" s="563">
        <v>12.23</v>
      </c>
      <c r="C355" s="564">
        <v>8049.89</v>
      </c>
      <c r="D355" s="560">
        <f t="shared" si="10"/>
        <v>2.2894521668029383E-2</v>
      </c>
      <c r="E355" s="560">
        <f t="shared" si="11"/>
        <v>-1.4484669976856872E-2</v>
      </c>
    </row>
    <row r="356" spans="1:5" x14ac:dyDescent="0.25">
      <c r="A356" s="562" t="s">
        <v>545</v>
      </c>
      <c r="B356" s="563">
        <v>12.21</v>
      </c>
      <c r="C356" s="564">
        <v>8124.32</v>
      </c>
      <c r="D356" s="560">
        <f t="shared" si="10"/>
        <v>1.638001638001603E-3</v>
      </c>
      <c r="E356" s="560">
        <f t="shared" si="11"/>
        <v>-9.1613821218267354E-3</v>
      </c>
    </row>
    <row r="357" spans="1:5" x14ac:dyDescent="0.25">
      <c r="A357" s="562" t="s">
        <v>546</v>
      </c>
      <c r="B357" s="563">
        <v>12.31</v>
      </c>
      <c r="C357" s="564">
        <v>8164.04</v>
      </c>
      <c r="D357" s="560">
        <f t="shared" si="10"/>
        <v>-8.1234768480909544E-3</v>
      </c>
      <c r="E357" s="560">
        <f t="shared" si="11"/>
        <v>-4.8652382888864157E-3</v>
      </c>
    </row>
    <row r="358" spans="1:5" x14ac:dyDescent="0.25">
      <c r="A358" s="562" t="s">
        <v>547</v>
      </c>
      <c r="B358" s="563">
        <v>12.52</v>
      </c>
      <c r="C358" s="564">
        <v>8119.06</v>
      </c>
      <c r="D358" s="560">
        <f t="shared" si="10"/>
        <v>-1.6773162939297051E-2</v>
      </c>
      <c r="E358" s="560">
        <f t="shared" si="11"/>
        <v>5.5400502028559416E-3</v>
      </c>
    </row>
    <row r="359" spans="1:5" x14ac:dyDescent="0.25">
      <c r="A359" s="562" t="s">
        <v>548</v>
      </c>
      <c r="B359" s="563">
        <v>12.49</v>
      </c>
      <c r="C359" s="564">
        <v>8151.91</v>
      </c>
      <c r="D359" s="560">
        <f t="shared" si="10"/>
        <v>2.4019215372297325E-3</v>
      </c>
      <c r="E359" s="560">
        <f t="shared" si="11"/>
        <v>-4.0297304558072223E-3</v>
      </c>
    </row>
    <row r="360" spans="1:5" x14ac:dyDescent="0.25">
      <c r="A360" s="562" t="s">
        <v>549</v>
      </c>
      <c r="B360" s="563">
        <v>12.45</v>
      </c>
      <c r="C360" s="564">
        <v>8123.07</v>
      </c>
      <c r="D360" s="560">
        <f t="shared" si="10"/>
        <v>3.2128514056225643E-3</v>
      </c>
      <c r="E360" s="560">
        <f t="shared" si="11"/>
        <v>3.5503818137723971E-3</v>
      </c>
    </row>
    <row r="361" spans="1:5" x14ac:dyDescent="0.25">
      <c r="A361" s="562" t="s">
        <v>550</v>
      </c>
      <c r="B361" s="563">
        <v>12.13</v>
      </c>
      <c r="C361" s="564">
        <v>8070.79</v>
      </c>
      <c r="D361" s="560">
        <f t="shared" si="10"/>
        <v>2.6380873866446702E-2</v>
      </c>
      <c r="E361" s="560">
        <f t="shared" si="11"/>
        <v>6.4776806235820467E-3</v>
      </c>
    </row>
    <row r="362" spans="1:5" x14ac:dyDescent="0.25">
      <c r="A362" s="562" t="s">
        <v>551</v>
      </c>
      <c r="B362" s="563">
        <v>12.25</v>
      </c>
      <c r="C362" s="564">
        <v>7988.01</v>
      </c>
      <c r="D362" s="560">
        <f t="shared" si="10"/>
        <v>-9.7959183673468758E-3</v>
      </c>
      <c r="E362" s="560">
        <f t="shared" si="11"/>
        <v>1.0363031593600877E-2</v>
      </c>
    </row>
    <row r="363" spans="1:5" x14ac:dyDescent="0.25">
      <c r="A363" s="562" t="s">
        <v>552</v>
      </c>
      <c r="B363" s="563">
        <v>12.31</v>
      </c>
      <c r="C363" s="564">
        <v>7940.74</v>
      </c>
      <c r="D363" s="560">
        <f t="shared" si="10"/>
        <v>-4.8740861088546299E-3</v>
      </c>
      <c r="E363" s="560">
        <f t="shared" si="11"/>
        <v>5.9528457045565572E-3</v>
      </c>
    </row>
    <row r="364" spans="1:5" x14ac:dyDescent="0.25">
      <c r="A364" s="562" t="s">
        <v>553</v>
      </c>
      <c r="B364" s="563">
        <v>12.32</v>
      </c>
      <c r="C364" s="564">
        <v>8025.44</v>
      </c>
      <c r="D364" s="560">
        <f t="shared" si="10"/>
        <v>-8.1168831168829439E-4</v>
      </c>
      <c r="E364" s="560">
        <f t="shared" si="11"/>
        <v>-1.055393847564742E-2</v>
      </c>
    </row>
    <row r="365" spans="1:5" x14ac:dyDescent="0.25">
      <c r="A365" s="562" t="s">
        <v>554</v>
      </c>
      <c r="B365" s="563">
        <v>12.28</v>
      </c>
      <c r="C365" s="564">
        <v>7995.91</v>
      </c>
      <c r="D365" s="560">
        <f t="shared" si="10"/>
        <v>3.2573289902280886E-3</v>
      </c>
      <c r="E365" s="560">
        <f t="shared" si="11"/>
        <v>3.6931381168622142E-3</v>
      </c>
    </row>
    <row r="366" spans="1:5" x14ac:dyDescent="0.25">
      <c r="A366" s="562" t="s">
        <v>555</v>
      </c>
      <c r="B366" s="563">
        <v>12.19</v>
      </c>
      <c r="C366" s="564">
        <v>8030.37</v>
      </c>
      <c r="D366" s="560">
        <f t="shared" si="10"/>
        <v>7.3831009023789876E-3</v>
      </c>
      <c r="E366" s="560">
        <f t="shared" si="11"/>
        <v>-4.2912094959510006E-3</v>
      </c>
    </row>
    <row r="367" spans="1:5" x14ac:dyDescent="0.25">
      <c r="A367" s="562" t="s">
        <v>556</v>
      </c>
      <c r="B367" s="563">
        <v>12.2</v>
      </c>
      <c r="C367" s="564">
        <v>8064.04</v>
      </c>
      <c r="D367" s="560">
        <f t="shared" si="10"/>
        <v>-8.1967213114752353E-4</v>
      </c>
      <c r="E367" s="560">
        <f t="shared" si="11"/>
        <v>-4.175326511277235E-3</v>
      </c>
    </row>
    <row r="368" spans="1:5" x14ac:dyDescent="0.25">
      <c r="A368" s="562" t="s">
        <v>557</v>
      </c>
      <c r="B368" s="563">
        <v>12.15</v>
      </c>
      <c r="C368" s="564">
        <v>7949.56</v>
      </c>
      <c r="D368" s="560">
        <f t="shared" si="10"/>
        <v>4.1152263374484715E-3</v>
      </c>
      <c r="E368" s="560">
        <f t="shared" si="11"/>
        <v>1.4400797025244109E-2</v>
      </c>
    </row>
    <row r="369" spans="1:5" x14ac:dyDescent="0.25">
      <c r="A369" s="562" t="s">
        <v>558</v>
      </c>
      <c r="B369" s="563">
        <v>12.06</v>
      </c>
      <c r="C369" s="564">
        <v>7931.09</v>
      </c>
      <c r="D369" s="560">
        <f t="shared" si="10"/>
        <v>7.4626865671641668E-3</v>
      </c>
      <c r="E369" s="560">
        <f t="shared" si="11"/>
        <v>2.3288097852880566E-3</v>
      </c>
    </row>
    <row r="370" spans="1:5" x14ac:dyDescent="0.25">
      <c r="A370" s="562" t="s">
        <v>559</v>
      </c>
      <c r="B370" s="563">
        <v>12.06</v>
      </c>
      <c r="C370" s="564">
        <v>8039.95</v>
      </c>
      <c r="D370" s="560">
        <f t="shared" si="10"/>
        <v>0</v>
      </c>
      <c r="E370" s="560">
        <f t="shared" si="11"/>
        <v>-1.3539885198290995E-2</v>
      </c>
    </row>
    <row r="371" spans="1:5" x14ac:dyDescent="0.25">
      <c r="A371" s="562" t="s">
        <v>560</v>
      </c>
      <c r="B371" s="563">
        <v>11.9</v>
      </c>
      <c r="C371" s="564">
        <v>7912.85</v>
      </c>
      <c r="D371" s="560">
        <f t="shared" si="10"/>
        <v>1.3445378151260515E-2</v>
      </c>
      <c r="E371" s="560">
        <f t="shared" si="11"/>
        <v>1.606248064856524E-2</v>
      </c>
    </row>
    <row r="372" spans="1:5" x14ac:dyDescent="0.25">
      <c r="A372" s="562" t="s">
        <v>561</v>
      </c>
      <c r="B372" s="563">
        <v>11.32</v>
      </c>
      <c r="C372" s="564">
        <v>7841.91</v>
      </c>
      <c r="D372" s="560">
        <f t="shared" si="10"/>
        <v>5.1236749116607777E-2</v>
      </c>
      <c r="E372" s="560">
        <f t="shared" si="11"/>
        <v>9.0462655143964295E-3</v>
      </c>
    </row>
    <row r="373" spans="1:5" x14ac:dyDescent="0.25">
      <c r="A373" s="562" t="s">
        <v>562</v>
      </c>
      <c r="B373" s="563">
        <v>11.93</v>
      </c>
      <c r="C373" s="564">
        <v>7992.31</v>
      </c>
      <c r="D373" s="560">
        <f t="shared" si="10"/>
        <v>-5.1131601005867514E-2</v>
      </c>
      <c r="E373" s="560">
        <f t="shared" si="11"/>
        <v>-1.8818088887943604E-2</v>
      </c>
    </row>
    <row r="374" spans="1:5" x14ac:dyDescent="0.25">
      <c r="A374" s="562" t="s">
        <v>563</v>
      </c>
      <c r="B374" s="563">
        <v>12.04</v>
      </c>
      <c r="C374" s="564">
        <v>8081.35</v>
      </c>
      <c r="D374" s="560">
        <f t="shared" si="10"/>
        <v>-9.1362126245846716E-3</v>
      </c>
      <c r="E374" s="560">
        <f t="shared" si="11"/>
        <v>-1.1017961107983192E-2</v>
      </c>
    </row>
    <row r="375" spans="1:5" x14ac:dyDescent="0.25">
      <c r="A375" s="562" t="s">
        <v>564</v>
      </c>
      <c r="B375" s="563">
        <v>12.02</v>
      </c>
      <c r="C375" s="564">
        <v>8106.83</v>
      </c>
      <c r="D375" s="560">
        <f t="shared" ref="D375:D438" si="12">(B374-B375)/B375</f>
        <v>1.6638935108152725E-3</v>
      </c>
      <c r="E375" s="560">
        <f t="shared" ref="E375:E438" si="13">(C374-C375)/C375</f>
        <v>-3.1430287794365448E-3</v>
      </c>
    </row>
    <row r="376" spans="1:5" x14ac:dyDescent="0.25">
      <c r="A376" s="562" t="s">
        <v>565</v>
      </c>
      <c r="B376" s="563">
        <v>12.12</v>
      </c>
      <c r="C376" s="564">
        <v>8216.5400000000009</v>
      </c>
      <c r="D376" s="560">
        <f t="shared" si="12"/>
        <v>-8.2508250825082223E-3</v>
      </c>
      <c r="E376" s="560">
        <f t="shared" si="13"/>
        <v>-1.3352335654667407E-2</v>
      </c>
    </row>
    <row r="377" spans="1:5" x14ac:dyDescent="0.25">
      <c r="A377" s="562" t="s">
        <v>566</v>
      </c>
      <c r="B377" s="563">
        <v>12.1</v>
      </c>
      <c r="C377" s="564">
        <v>8281.1200000000008</v>
      </c>
      <c r="D377" s="560">
        <f t="shared" si="12"/>
        <v>1.6528925619834359E-3</v>
      </c>
      <c r="E377" s="560">
        <f t="shared" si="13"/>
        <v>-7.7984620437815079E-3</v>
      </c>
    </row>
    <row r="378" spans="1:5" x14ac:dyDescent="0.25">
      <c r="A378" s="562" t="s">
        <v>567</v>
      </c>
      <c r="B378" s="563">
        <v>11.99</v>
      </c>
      <c r="C378" s="564">
        <v>8206.93</v>
      </c>
      <c r="D378" s="560">
        <f t="shared" si="12"/>
        <v>9.1743119266054565E-3</v>
      </c>
      <c r="E378" s="560">
        <f t="shared" si="13"/>
        <v>9.0399211398172648E-3</v>
      </c>
    </row>
    <row r="379" spans="1:5" x14ac:dyDescent="0.25">
      <c r="A379" s="562" t="s">
        <v>568</v>
      </c>
      <c r="B379" s="563">
        <v>11.99</v>
      </c>
      <c r="C379" s="564">
        <v>8166.37</v>
      </c>
      <c r="D379" s="560">
        <f t="shared" si="12"/>
        <v>0</v>
      </c>
      <c r="E379" s="560">
        <f t="shared" si="13"/>
        <v>4.9667110356254249E-3</v>
      </c>
    </row>
    <row r="380" spans="1:5" x14ac:dyDescent="0.25">
      <c r="A380" s="562" t="s">
        <v>569</v>
      </c>
      <c r="B380" s="563">
        <v>12.14</v>
      </c>
      <c r="C380" s="564">
        <v>8188.35</v>
      </c>
      <c r="D380" s="560">
        <f t="shared" si="12"/>
        <v>-1.2355848434925893E-2</v>
      </c>
      <c r="E380" s="560">
        <f t="shared" si="13"/>
        <v>-2.6843014770986185E-3</v>
      </c>
    </row>
    <row r="381" spans="1:5" x14ac:dyDescent="0.25">
      <c r="A381" s="562" t="s">
        <v>570</v>
      </c>
      <c r="B381" s="563">
        <v>12.25</v>
      </c>
      <c r="C381" s="564">
        <v>8239.33</v>
      </c>
      <c r="D381" s="560">
        <f t="shared" si="12"/>
        <v>-8.9795918367346472E-3</v>
      </c>
      <c r="E381" s="560">
        <f t="shared" si="13"/>
        <v>-6.1873963052820509E-3</v>
      </c>
    </row>
    <row r="382" spans="1:5" x14ac:dyDescent="0.25">
      <c r="A382" s="562" t="s">
        <v>571</v>
      </c>
      <c r="B382" s="563">
        <v>12.22</v>
      </c>
      <c r="C382" s="564">
        <v>8288.7800000000007</v>
      </c>
      <c r="D382" s="560">
        <f t="shared" si="12"/>
        <v>2.4549918166938919E-3</v>
      </c>
      <c r="E382" s="560">
        <f t="shared" si="13"/>
        <v>-5.9658960667312586E-3</v>
      </c>
    </row>
    <row r="383" spans="1:5" x14ac:dyDescent="0.25">
      <c r="A383" s="562" t="s">
        <v>572</v>
      </c>
      <c r="B383" s="563">
        <v>12.27</v>
      </c>
      <c r="C383" s="564">
        <v>8180.05</v>
      </c>
      <c r="D383" s="560">
        <f t="shared" si="12"/>
        <v>-4.0749796251017874E-3</v>
      </c>
      <c r="E383" s="560">
        <f t="shared" si="13"/>
        <v>1.3292094791596687E-2</v>
      </c>
    </row>
    <row r="384" spans="1:5" x14ac:dyDescent="0.25">
      <c r="A384" s="562" t="s">
        <v>573</v>
      </c>
      <c r="B384" s="563">
        <v>12.28</v>
      </c>
      <c r="C384" s="564">
        <v>8141.32</v>
      </c>
      <c r="D384" s="560">
        <f t="shared" si="12"/>
        <v>-8.1433224755698595E-4</v>
      </c>
      <c r="E384" s="560">
        <f t="shared" si="13"/>
        <v>4.7572138179067368E-3</v>
      </c>
    </row>
    <row r="385" spans="1:5" x14ac:dyDescent="0.25">
      <c r="A385" s="562" t="s">
        <v>574</v>
      </c>
      <c r="B385" s="563">
        <v>13.49</v>
      </c>
      <c r="C385" s="564">
        <v>8219.34</v>
      </c>
      <c r="D385" s="560">
        <f t="shared" si="12"/>
        <v>-8.9696071163825122E-2</v>
      </c>
      <c r="E385" s="560">
        <f t="shared" si="13"/>
        <v>-9.4922463360805655E-3</v>
      </c>
    </row>
    <row r="386" spans="1:5" x14ac:dyDescent="0.25">
      <c r="A386" s="562" t="s">
        <v>575</v>
      </c>
      <c r="B386" s="563">
        <v>13.03</v>
      </c>
      <c r="C386" s="564">
        <v>8241.27</v>
      </c>
      <c r="D386" s="560">
        <f t="shared" si="12"/>
        <v>3.5303146584804365E-2</v>
      </c>
      <c r="E386" s="560">
        <f t="shared" si="13"/>
        <v>-2.6609976375000805E-3</v>
      </c>
    </row>
    <row r="387" spans="1:5" x14ac:dyDescent="0.25">
      <c r="A387" s="562" t="s">
        <v>576</v>
      </c>
      <c r="B387" s="563">
        <v>13.05</v>
      </c>
      <c r="C387" s="564">
        <v>8297.4699999999993</v>
      </c>
      <c r="D387" s="560">
        <f t="shared" si="12"/>
        <v>-1.5325670498085324E-3</v>
      </c>
      <c r="E387" s="560">
        <f t="shared" si="13"/>
        <v>-6.7731489237079388E-3</v>
      </c>
    </row>
    <row r="388" spans="1:5" x14ac:dyDescent="0.25">
      <c r="A388" s="562" t="s">
        <v>577</v>
      </c>
      <c r="B388" s="563">
        <v>13.46</v>
      </c>
      <c r="C388" s="564">
        <v>8270.4</v>
      </c>
      <c r="D388" s="560">
        <f t="shared" si="12"/>
        <v>-3.0460624071322447E-2</v>
      </c>
      <c r="E388" s="560">
        <f t="shared" si="13"/>
        <v>3.2731185916037566E-3</v>
      </c>
    </row>
    <row r="389" spans="1:5" x14ac:dyDescent="0.25">
      <c r="A389" s="562" t="s">
        <v>578</v>
      </c>
      <c r="B389" s="563">
        <v>12.96</v>
      </c>
      <c r="C389" s="564">
        <v>8246.7199999999993</v>
      </c>
      <c r="D389" s="560">
        <f t="shared" si="12"/>
        <v>3.8580246913580245E-2</v>
      </c>
      <c r="E389" s="560">
        <f t="shared" si="13"/>
        <v>2.871444647083967E-3</v>
      </c>
    </row>
    <row r="390" spans="1:5" x14ac:dyDescent="0.25">
      <c r="A390" s="562" t="s">
        <v>579</v>
      </c>
      <c r="B390" s="563">
        <v>13.1</v>
      </c>
      <c r="C390" s="564">
        <v>8185.27</v>
      </c>
      <c r="D390" s="560">
        <f t="shared" si="12"/>
        <v>-1.0687022900763267E-2</v>
      </c>
      <c r="E390" s="560">
        <f t="shared" si="13"/>
        <v>7.5073882718589497E-3</v>
      </c>
    </row>
    <row r="391" spans="1:5" x14ac:dyDescent="0.25">
      <c r="A391" s="562" t="s">
        <v>580</v>
      </c>
      <c r="B391" s="563">
        <v>12.92</v>
      </c>
      <c r="C391" s="564">
        <v>8234.48</v>
      </c>
      <c r="D391" s="560">
        <f t="shared" si="12"/>
        <v>1.393188854489162E-2</v>
      </c>
      <c r="E391" s="560">
        <f t="shared" si="13"/>
        <v>-5.9760907792597868E-3</v>
      </c>
    </row>
    <row r="392" spans="1:5" x14ac:dyDescent="0.25">
      <c r="A392" s="562" t="s">
        <v>581</v>
      </c>
      <c r="B392" s="563">
        <v>12.73</v>
      </c>
      <c r="C392" s="564">
        <v>8086.28</v>
      </c>
      <c r="D392" s="560">
        <f t="shared" si="12"/>
        <v>1.4925373134328318E-2</v>
      </c>
      <c r="E392" s="560">
        <f t="shared" si="13"/>
        <v>1.8327339641961423E-2</v>
      </c>
    </row>
    <row r="393" spans="1:5" x14ac:dyDescent="0.25">
      <c r="A393" s="562" t="s">
        <v>582</v>
      </c>
      <c r="B393" s="563">
        <v>12.83</v>
      </c>
      <c r="C393" s="564">
        <v>8102.1</v>
      </c>
      <c r="D393" s="560">
        <f t="shared" si="12"/>
        <v>-7.7942322681215622E-3</v>
      </c>
      <c r="E393" s="560">
        <f t="shared" si="13"/>
        <v>-1.9525801952580957E-3</v>
      </c>
    </row>
    <row r="394" spans="1:5" x14ac:dyDescent="0.25">
      <c r="A394" s="562" t="s">
        <v>583</v>
      </c>
      <c r="B394" s="563">
        <v>12.63</v>
      </c>
      <c r="C394" s="564">
        <v>8082.48</v>
      </c>
      <c r="D394" s="560">
        <f t="shared" si="12"/>
        <v>1.5835312747426705E-2</v>
      </c>
      <c r="E394" s="560">
        <f t="shared" si="13"/>
        <v>2.427472755886906E-3</v>
      </c>
    </row>
    <row r="395" spans="1:5" x14ac:dyDescent="0.25">
      <c r="A395" s="562" t="s">
        <v>584</v>
      </c>
      <c r="B395" s="563">
        <v>12.45</v>
      </c>
      <c r="C395" s="564">
        <v>7979.78</v>
      </c>
      <c r="D395" s="560">
        <f t="shared" si="12"/>
        <v>1.4457831325301325E-2</v>
      </c>
      <c r="E395" s="560">
        <f t="shared" si="13"/>
        <v>1.2870028998293164E-2</v>
      </c>
    </row>
    <row r="396" spans="1:5" x14ac:dyDescent="0.25">
      <c r="A396" s="562" t="s">
        <v>585</v>
      </c>
      <c r="B396" s="563">
        <v>12.52</v>
      </c>
      <c r="C396" s="564">
        <v>7920.35</v>
      </c>
      <c r="D396" s="560">
        <f t="shared" si="12"/>
        <v>-5.5910543130990647E-3</v>
      </c>
      <c r="E396" s="560">
        <f t="shared" si="13"/>
        <v>7.5034562866539206E-3</v>
      </c>
    </row>
    <row r="397" spans="1:5" x14ac:dyDescent="0.25">
      <c r="A397" s="562" t="s">
        <v>586</v>
      </c>
      <c r="B397" s="563">
        <v>12.8</v>
      </c>
      <c r="C397" s="564">
        <v>8091.28</v>
      </c>
      <c r="D397" s="560">
        <f t="shared" si="12"/>
        <v>-2.1875000000000089E-2</v>
      </c>
      <c r="E397" s="560">
        <f t="shared" si="13"/>
        <v>-2.1125211338626198E-2</v>
      </c>
    </row>
    <row r="398" spans="1:5" x14ac:dyDescent="0.25">
      <c r="A398" s="562" t="s">
        <v>587</v>
      </c>
      <c r="B398" s="563">
        <v>12.8</v>
      </c>
      <c r="C398" s="564">
        <v>8125.17</v>
      </c>
      <c r="D398" s="560">
        <f t="shared" si="12"/>
        <v>0</v>
      </c>
      <c r="E398" s="560">
        <f t="shared" si="13"/>
        <v>-4.1709896531396057E-3</v>
      </c>
    </row>
    <row r="399" spans="1:5" x14ac:dyDescent="0.25">
      <c r="A399" s="562" t="s">
        <v>588</v>
      </c>
      <c r="B399" s="563">
        <v>12.95</v>
      </c>
      <c r="C399" s="564">
        <v>8175.11</v>
      </c>
      <c r="D399" s="560">
        <f t="shared" si="12"/>
        <v>-1.1583011583011473E-2</v>
      </c>
      <c r="E399" s="560">
        <f t="shared" si="13"/>
        <v>-6.1087863037928057E-3</v>
      </c>
    </row>
    <row r="400" spans="1:5" x14ac:dyDescent="0.25">
      <c r="A400" s="562" t="s">
        <v>589</v>
      </c>
      <c r="B400" s="563">
        <v>12.6</v>
      </c>
      <c r="C400" s="564">
        <v>8113.24</v>
      </c>
      <c r="D400" s="560">
        <f t="shared" si="12"/>
        <v>2.7777777777777752E-2</v>
      </c>
      <c r="E400" s="560">
        <f t="shared" si="13"/>
        <v>7.6258067060754877E-3</v>
      </c>
    </row>
    <row r="401" spans="1:5" x14ac:dyDescent="0.25">
      <c r="A401" s="562" t="s">
        <v>590</v>
      </c>
      <c r="B401" s="563">
        <v>12.56</v>
      </c>
      <c r="C401" s="564">
        <v>8171.54</v>
      </c>
      <c r="D401" s="560">
        <f t="shared" si="12"/>
        <v>3.1847133757961104E-3</v>
      </c>
      <c r="E401" s="560">
        <f t="shared" si="13"/>
        <v>-7.1345180957322835E-3</v>
      </c>
    </row>
    <row r="402" spans="1:5" x14ac:dyDescent="0.25">
      <c r="A402" s="562" t="s">
        <v>591</v>
      </c>
      <c r="B402" s="563">
        <v>12.71</v>
      </c>
      <c r="C402" s="564">
        <v>8143.56</v>
      </c>
      <c r="D402" s="560">
        <f t="shared" si="12"/>
        <v>-1.1801730920535039E-2</v>
      </c>
      <c r="E402" s="560">
        <f t="shared" si="13"/>
        <v>3.4358437833084746E-3</v>
      </c>
    </row>
    <row r="403" spans="1:5" x14ac:dyDescent="0.25">
      <c r="A403" s="562" t="s">
        <v>592</v>
      </c>
      <c r="B403" s="563">
        <v>12.75</v>
      </c>
      <c r="C403" s="564">
        <v>8151.97</v>
      </c>
      <c r="D403" s="560">
        <f t="shared" si="12"/>
        <v>-3.1372549019607174E-3</v>
      </c>
      <c r="E403" s="560">
        <f t="shared" si="13"/>
        <v>-1.0316524717338084E-3</v>
      </c>
    </row>
    <row r="404" spans="1:5" x14ac:dyDescent="0.25">
      <c r="A404" s="562" t="s">
        <v>593</v>
      </c>
      <c r="B404" s="563">
        <v>12.76</v>
      </c>
      <c r="C404" s="564">
        <v>8136.15</v>
      </c>
      <c r="D404" s="560">
        <f t="shared" si="12"/>
        <v>-7.836990595611118E-4</v>
      </c>
      <c r="E404" s="560">
        <f t="shared" si="13"/>
        <v>1.94440859620344E-3</v>
      </c>
    </row>
    <row r="405" spans="1:5" x14ac:dyDescent="0.25">
      <c r="A405" s="562" t="s">
        <v>594</v>
      </c>
      <c r="B405" s="563">
        <v>12.38</v>
      </c>
      <c r="C405" s="564">
        <v>8094.39</v>
      </c>
      <c r="D405" s="560">
        <f t="shared" si="12"/>
        <v>3.0694668820678433E-2</v>
      </c>
      <c r="E405" s="560">
        <f t="shared" si="13"/>
        <v>5.159128729898029E-3</v>
      </c>
    </row>
    <row r="406" spans="1:5" x14ac:dyDescent="0.25">
      <c r="A406" s="562" t="s">
        <v>595</v>
      </c>
      <c r="B406" s="563">
        <v>12.79</v>
      </c>
      <c r="C406" s="564">
        <v>8115.42</v>
      </c>
      <c r="D406" s="560">
        <f t="shared" si="12"/>
        <v>-3.2056293979671489E-2</v>
      </c>
      <c r="E406" s="560">
        <f t="shared" si="13"/>
        <v>-2.5913631087484991E-3</v>
      </c>
    </row>
    <row r="407" spans="1:5" x14ac:dyDescent="0.25">
      <c r="A407" s="562" t="s">
        <v>596</v>
      </c>
      <c r="B407" s="563">
        <v>12.57</v>
      </c>
      <c r="C407" s="564">
        <v>8114.51</v>
      </c>
      <c r="D407" s="560">
        <f t="shared" si="12"/>
        <v>1.7501988862370633E-2</v>
      </c>
      <c r="E407" s="560">
        <f t="shared" si="13"/>
        <v>1.1214478754722767E-4</v>
      </c>
    </row>
    <row r="408" spans="1:5" x14ac:dyDescent="0.25">
      <c r="A408" s="562" t="s">
        <v>597</v>
      </c>
      <c r="B408" s="563">
        <v>13.03</v>
      </c>
      <c r="C408" s="564">
        <v>8092.19</v>
      </c>
      <c r="D408" s="560">
        <f t="shared" si="12"/>
        <v>-3.5303146584804226E-2</v>
      </c>
      <c r="E408" s="560">
        <f t="shared" si="13"/>
        <v>2.7582150196671876E-3</v>
      </c>
    </row>
    <row r="409" spans="1:5" x14ac:dyDescent="0.25">
      <c r="A409" s="562" t="s">
        <v>598</v>
      </c>
      <c r="B409" s="563">
        <v>12.95</v>
      </c>
      <c r="C409" s="564">
        <v>7998.65</v>
      </c>
      <c r="D409" s="560">
        <f t="shared" si="12"/>
        <v>6.1776061776061836E-3</v>
      </c>
      <c r="E409" s="560">
        <f t="shared" si="13"/>
        <v>1.16944734423934E-2</v>
      </c>
    </row>
    <row r="410" spans="1:5" x14ac:dyDescent="0.25">
      <c r="A410" s="562" t="s">
        <v>599</v>
      </c>
      <c r="B410" s="563">
        <v>13.1</v>
      </c>
      <c r="C410" s="564">
        <v>8029.61</v>
      </c>
      <c r="D410" s="560">
        <f t="shared" si="12"/>
        <v>-1.1450381679389341E-2</v>
      </c>
      <c r="E410" s="560">
        <f t="shared" si="13"/>
        <v>-3.855728983101301E-3</v>
      </c>
    </row>
    <row r="411" spans="1:5" x14ac:dyDescent="0.25">
      <c r="A411" s="562" t="s">
        <v>600</v>
      </c>
      <c r="B411" s="563">
        <v>13.03</v>
      </c>
      <c r="C411" s="564">
        <v>8056.23</v>
      </c>
      <c r="D411" s="560">
        <f t="shared" si="12"/>
        <v>5.3722179585571975E-3</v>
      </c>
      <c r="E411" s="560">
        <f t="shared" si="13"/>
        <v>-3.3042750765556461E-3</v>
      </c>
    </row>
    <row r="412" spans="1:5" x14ac:dyDescent="0.25">
      <c r="A412" s="562" t="s">
        <v>601</v>
      </c>
      <c r="B412" s="563">
        <v>13.19</v>
      </c>
      <c r="C412" s="564">
        <v>7992.05</v>
      </c>
      <c r="D412" s="560">
        <f t="shared" si="12"/>
        <v>-1.2130401819560285E-2</v>
      </c>
      <c r="E412" s="560">
        <f t="shared" si="13"/>
        <v>8.0304802897878998E-3</v>
      </c>
    </row>
    <row r="413" spans="1:5" x14ac:dyDescent="0.25">
      <c r="A413" s="562" t="s">
        <v>602</v>
      </c>
      <c r="B413" s="563">
        <v>13.55</v>
      </c>
      <c r="C413" s="564">
        <v>8081.25</v>
      </c>
      <c r="D413" s="560">
        <f t="shared" si="12"/>
        <v>-2.6568265682656914E-2</v>
      </c>
      <c r="E413" s="560">
        <f t="shared" si="13"/>
        <v>-1.1037896365042514E-2</v>
      </c>
    </row>
    <row r="414" spans="1:5" x14ac:dyDescent="0.25">
      <c r="A414" s="562" t="s">
        <v>603</v>
      </c>
      <c r="B414" s="563">
        <v>13.44</v>
      </c>
      <c r="C414" s="564">
        <v>8082.98</v>
      </c>
      <c r="D414" s="560">
        <f t="shared" si="12"/>
        <v>8.1845238095239001E-3</v>
      </c>
      <c r="E414" s="560">
        <f t="shared" si="13"/>
        <v>-2.1402997409365897E-4</v>
      </c>
    </row>
    <row r="415" spans="1:5" x14ac:dyDescent="0.25">
      <c r="A415" s="562" t="s">
        <v>604</v>
      </c>
      <c r="B415" s="563">
        <v>13.25</v>
      </c>
      <c r="C415" s="564">
        <v>8069.7</v>
      </c>
      <c r="D415" s="560">
        <f t="shared" si="12"/>
        <v>1.4339622641509396E-2</v>
      </c>
      <c r="E415" s="560">
        <f t="shared" si="13"/>
        <v>1.6456621683581479E-3</v>
      </c>
    </row>
    <row r="416" spans="1:5" x14ac:dyDescent="0.25">
      <c r="A416" s="562" t="s">
        <v>605</v>
      </c>
      <c r="B416" s="563">
        <v>13.2</v>
      </c>
      <c r="C416" s="564">
        <v>8048.04</v>
      </c>
      <c r="D416" s="560">
        <f t="shared" si="12"/>
        <v>3.7878787878788418E-3</v>
      </c>
      <c r="E416" s="560">
        <f t="shared" si="13"/>
        <v>2.6913385122340166E-3</v>
      </c>
    </row>
    <row r="417" spans="1:5" x14ac:dyDescent="0.25">
      <c r="A417" s="562" t="s">
        <v>606</v>
      </c>
      <c r="B417" s="563">
        <v>13.23</v>
      </c>
      <c r="C417" s="564">
        <v>8060.43</v>
      </c>
      <c r="D417" s="560">
        <f t="shared" si="12"/>
        <v>-2.2675736961452106E-3</v>
      </c>
      <c r="E417" s="560">
        <f t="shared" si="13"/>
        <v>-1.5371388375062282E-3</v>
      </c>
    </row>
    <row r="418" spans="1:5" x14ac:dyDescent="0.25">
      <c r="A418" s="562" t="s">
        <v>607</v>
      </c>
      <c r="B418" s="563">
        <v>13.2</v>
      </c>
      <c r="C418" s="564">
        <v>7945.43</v>
      </c>
      <c r="D418" s="560">
        <f t="shared" si="12"/>
        <v>2.2727272727273589E-3</v>
      </c>
      <c r="E418" s="560">
        <f t="shared" si="13"/>
        <v>1.4473728923418871E-2</v>
      </c>
    </row>
    <row r="419" spans="1:5" x14ac:dyDescent="0.25">
      <c r="A419" s="562" t="s">
        <v>608</v>
      </c>
      <c r="B419" s="563">
        <v>12.67</v>
      </c>
      <c r="C419" s="564">
        <v>7931.43</v>
      </c>
      <c r="D419" s="560">
        <f t="shared" si="12"/>
        <v>4.1831097079715815E-2</v>
      </c>
      <c r="E419" s="560">
        <f t="shared" si="13"/>
        <v>1.7651293650703592E-3</v>
      </c>
    </row>
    <row r="420" spans="1:5" x14ac:dyDescent="0.25">
      <c r="A420" s="562" t="s">
        <v>609</v>
      </c>
      <c r="B420" s="563">
        <v>12.64</v>
      </c>
      <c r="C420" s="564">
        <v>7838.48</v>
      </c>
      <c r="D420" s="560">
        <f t="shared" si="12"/>
        <v>2.3734177215189367E-3</v>
      </c>
      <c r="E420" s="560">
        <f t="shared" si="13"/>
        <v>1.185816637919606E-2</v>
      </c>
    </row>
    <row r="421" spans="1:5" x14ac:dyDescent="0.25">
      <c r="A421" s="562" t="s">
        <v>610</v>
      </c>
      <c r="B421" s="563">
        <v>12.71</v>
      </c>
      <c r="C421" s="564">
        <v>7834.4</v>
      </c>
      <c r="D421" s="560">
        <f t="shared" si="12"/>
        <v>-5.5074744295830272E-3</v>
      </c>
      <c r="E421" s="560">
        <f t="shared" si="13"/>
        <v>5.2078014908607268E-4</v>
      </c>
    </row>
    <row r="422" spans="1:5" x14ac:dyDescent="0.25">
      <c r="A422" s="562" t="s">
        <v>611</v>
      </c>
      <c r="B422" s="563">
        <v>13.08</v>
      </c>
      <c r="C422" s="564">
        <v>7876.61</v>
      </c>
      <c r="D422" s="560">
        <f t="shared" si="12"/>
        <v>-2.8287461773700246E-2</v>
      </c>
      <c r="E422" s="560">
        <f t="shared" si="13"/>
        <v>-5.3589044017667547E-3</v>
      </c>
    </row>
    <row r="423" spans="1:5" x14ac:dyDescent="0.25">
      <c r="A423" s="562" t="s">
        <v>612</v>
      </c>
      <c r="B423" s="563">
        <v>13.11</v>
      </c>
      <c r="C423" s="564">
        <v>7883.9</v>
      </c>
      <c r="D423" s="560">
        <f t="shared" si="12"/>
        <v>-2.2883295194507523E-3</v>
      </c>
      <c r="E423" s="560">
        <f t="shared" si="13"/>
        <v>-9.2466926267456009E-4</v>
      </c>
    </row>
    <row r="424" spans="1:5" x14ac:dyDescent="0.25">
      <c r="A424" s="562" t="s">
        <v>613</v>
      </c>
      <c r="B424" s="563">
        <v>13.01</v>
      </c>
      <c r="C424" s="564">
        <v>7914.81</v>
      </c>
      <c r="D424" s="560">
        <f t="shared" si="12"/>
        <v>7.6863950807071211E-3</v>
      </c>
      <c r="E424" s="560">
        <f t="shared" si="13"/>
        <v>-3.905336956920098E-3</v>
      </c>
    </row>
    <row r="425" spans="1:5" x14ac:dyDescent="0.25">
      <c r="A425" s="562" t="s">
        <v>614</v>
      </c>
      <c r="B425" s="563">
        <v>12.91</v>
      </c>
      <c r="C425" s="564">
        <v>7840.65</v>
      </c>
      <c r="D425" s="560">
        <f t="shared" si="12"/>
        <v>7.7459333849728617E-3</v>
      </c>
      <c r="E425" s="560">
        <f t="shared" si="13"/>
        <v>9.4583994949399303E-3</v>
      </c>
    </row>
    <row r="426" spans="1:5" x14ac:dyDescent="0.25">
      <c r="A426" s="562" t="s">
        <v>615</v>
      </c>
      <c r="B426" s="563">
        <v>13.36</v>
      </c>
      <c r="C426" s="564">
        <v>7855.52</v>
      </c>
      <c r="D426" s="560">
        <f t="shared" si="12"/>
        <v>-3.3682634730538868E-2</v>
      </c>
      <c r="E426" s="560">
        <f t="shared" si="13"/>
        <v>-1.8929364319613213E-3</v>
      </c>
    </row>
    <row r="427" spans="1:5" x14ac:dyDescent="0.25">
      <c r="A427" s="562" t="s">
        <v>616</v>
      </c>
      <c r="B427" s="563">
        <v>13.41</v>
      </c>
      <c r="C427" s="564">
        <v>7829.34</v>
      </c>
      <c r="D427" s="560">
        <f t="shared" si="12"/>
        <v>-3.7285607755406943E-3</v>
      </c>
      <c r="E427" s="560">
        <f t="shared" si="13"/>
        <v>3.3438323025951474E-3</v>
      </c>
    </row>
    <row r="428" spans="1:5" x14ac:dyDescent="0.25">
      <c r="A428" s="562" t="s">
        <v>617</v>
      </c>
      <c r="B428" s="563">
        <v>12.8</v>
      </c>
      <c r="C428" s="564">
        <v>7819.36</v>
      </c>
      <c r="D428" s="560">
        <f t="shared" si="12"/>
        <v>4.7656249999999956E-2</v>
      </c>
      <c r="E428" s="560">
        <f t="shared" si="13"/>
        <v>1.2763192895582853E-3</v>
      </c>
    </row>
    <row r="429" spans="1:5" x14ac:dyDescent="0.25">
      <c r="A429" s="562" t="s">
        <v>618</v>
      </c>
      <c r="B429" s="563">
        <v>12.72</v>
      </c>
      <c r="C429" s="564">
        <v>7766.95</v>
      </c>
      <c r="D429" s="560">
        <f t="shared" si="12"/>
        <v>6.2893081761006345E-3</v>
      </c>
      <c r="E429" s="560">
        <f t="shared" si="13"/>
        <v>6.747822504329223E-3</v>
      </c>
    </row>
    <row r="430" spans="1:5" x14ac:dyDescent="0.25">
      <c r="A430" s="562" t="s">
        <v>619</v>
      </c>
      <c r="B430" s="563">
        <v>12.51</v>
      </c>
      <c r="C430" s="564">
        <v>7670.47</v>
      </c>
      <c r="D430" s="560">
        <f t="shared" si="12"/>
        <v>1.6786570743405345E-2</v>
      </c>
      <c r="E430" s="560">
        <f t="shared" si="13"/>
        <v>1.2578107990774953E-2</v>
      </c>
    </row>
    <row r="431" spans="1:5" x14ac:dyDescent="0.25">
      <c r="A431" s="562" t="s">
        <v>620</v>
      </c>
      <c r="B431" s="563">
        <v>12.46</v>
      </c>
      <c r="C431" s="564">
        <v>7632.03</v>
      </c>
      <c r="D431" s="560">
        <f t="shared" si="12"/>
        <v>4.0128410914926907E-3</v>
      </c>
      <c r="E431" s="560">
        <f t="shared" si="13"/>
        <v>5.036667832804707E-3</v>
      </c>
    </row>
    <row r="432" spans="1:5" x14ac:dyDescent="0.25">
      <c r="A432" s="562" t="s">
        <v>621</v>
      </c>
      <c r="B432" s="563">
        <v>12.65</v>
      </c>
      <c r="C432" s="564">
        <v>7681.26</v>
      </c>
      <c r="D432" s="560">
        <f t="shared" si="12"/>
        <v>-1.5019762845849762E-2</v>
      </c>
      <c r="E432" s="560">
        <f t="shared" si="13"/>
        <v>-6.4091047562509886E-3</v>
      </c>
    </row>
    <row r="433" spans="1:5" x14ac:dyDescent="0.25">
      <c r="A433" s="562" t="s">
        <v>622</v>
      </c>
      <c r="B433" s="563">
        <v>12.77</v>
      </c>
      <c r="C433" s="564">
        <v>7661.98</v>
      </c>
      <c r="D433" s="560">
        <f t="shared" si="12"/>
        <v>-9.3970242756459838E-3</v>
      </c>
      <c r="E433" s="560">
        <f t="shared" si="13"/>
        <v>2.5163208465697712E-3</v>
      </c>
    </row>
    <row r="434" spans="1:5" x14ac:dyDescent="0.25">
      <c r="A434" s="562" t="s">
        <v>623</v>
      </c>
      <c r="B434" s="563">
        <v>12.75</v>
      </c>
      <c r="C434" s="564">
        <v>7668.9</v>
      </c>
      <c r="D434" s="560">
        <f t="shared" si="12"/>
        <v>1.5686274509803587E-3</v>
      </c>
      <c r="E434" s="560">
        <f t="shared" si="13"/>
        <v>-9.0234583838621877E-4</v>
      </c>
    </row>
    <row r="435" spans="1:5" x14ac:dyDescent="0.25">
      <c r="A435" s="562" t="s">
        <v>624</v>
      </c>
      <c r="B435" s="563">
        <v>12.82</v>
      </c>
      <c r="C435" s="564">
        <v>7584.66</v>
      </c>
      <c r="D435" s="560">
        <f t="shared" si="12"/>
        <v>-5.4602184087363713E-3</v>
      </c>
      <c r="E435" s="560">
        <f t="shared" si="13"/>
        <v>1.1106628378859406E-2</v>
      </c>
    </row>
    <row r="436" spans="1:5" x14ac:dyDescent="0.25">
      <c r="A436" s="562" t="s">
        <v>625</v>
      </c>
      <c r="B436" s="563">
        <v>12.72</v>
      </c>
      <c r="C436" s="564">
        <v>7557.68</v>
      </c>
      <c r="D436" s="560">
        <f t="shared" si="12"/>
        <v>7.8616352201257584E-3</v>
      </c>
      <c r="E436" s="560">
        <f t="shared" si="13"/>
        <v>3.5698785870795749E-3</v>
      </c>
    </row>
    <row r="437" spans="1:5" x14ac:dyDescent="0.25">
      <c r="A437" s="562" t="s">
        <v>626</v>
      </c>
      <c r="B437" s="563">
        <v>12.85</v>
      </c>
      <c r="C437" s="564">
        <v>7599.97</v>
      </c>
      <c r="D437" s="560">
        <f t="shared" si="12"/>
        <v>-1.011673151750965E-2</v>
      </c>
      <c r="E437" s="560">
        <f t="shared" si="13"/>
        <v>-5.5644956493249263E-3</v>
      </c>
    </row>
    <row r="438" spans="1:5" x14ac:dyDescent="0.25">
      <c r="A438" s="562" t="s">
        <v>627</v>
      </c>
      <c r="B438" s="563">
        <v>12.33</v>
      </c>
      <c r="C438" s="564">
        <v>7612.15</v>
      </c>
      <c r="D438" s="560">
        <f t="shared" si="12"/>
        <v>4.2173560421735569E-2</v>
      </c>
      <c r="E438" s="560">
        <f t="shared" si="13"/>
        <v>-1.600073566600682E-3</v>
      </c>
    </row>
    <row r="439" spans="1:5" x14ac:dyDescent="0.25">
      <c r="A439" s="562" t="s">
        <v>628</v>
      </c>
      <c r="B439" s="563">
        <v>12.44</v>
      </c>
      <c r="C439" s="564">
        <v>7624.32</v>
      </c>
      <c r="D439" s="560">
        <f t="shared" ref="D439:D502" si="14">(B438-B439)/B439</f>
        <v>-8.842443729903492E-3</v>
      </c>
      <c r="E439" s="560">
        <f t="shared" ref="E439:E502" si="15">(C438-C439)/C439</f>
        <v>-1.596207924116521E-3</v>
      </c>
    </row>
    <row r="440" spans="1:5" x14ac:dyDescent="0.25">
      <c r="A440" s="562" t="s">
        <v>629</v>
      </c>
      <c r="B440" s="563">
        <v>12.12</v>
      </c>
      <c r="C440" s="564">
        <v>7477.03</v>
      </c>
      <c r="D440" s="560">
        <f t="shared" si="14"/>
        <v>2.6402640264026427E-2</v>
      </c>
      <c r="E440" s="560">
        <f t="shared" si="15"/>
        <v>1.9698998131611075E-2</v>
      </c>
    </row>
    <row r="441" spans="1:5" x14ac:dyDescent="0.25">
      <c r="A441" s="562" t="s">
        <v>630</v>
      </c>
      <c r="B441" s="563">
        <v>12.18</v>
      </c>
      <c r="C441" s="564">
        <v>7485.63</v>
      </c>
      <c r="D441" s="560">
        <f t="shared" si="14"/>
        <v>-4.9261083743842773E-3</v>
      </c>
      <c r="E441" s="560">
        <f t="shared" si="15"/>
        <v>-1.1488678975584371E-3</v>
      </c>
    </row>
    <row r="442" spans="1:5" x14ac:dyDescent="0.25">
      <c r="A442" s="562" t="s">
        <v>631</v>
      </c>
      <c r="B442" s="563">
        <v>12.15</v>
      </c>
      <c r="C442" s="564">
        <v>7396.99</v>
      </c>
      <c r="D442" s="560">
        <f t="shared" si="14"/>
        <v>2.4691358024690833E-3</v>
      </c>
      <c r="E442" s="560">
        <f t="shared" si="15"/>
        <v>1.198325264736066E-2</v>
      </c>
    </row>
    <row r="443" spans="1:5" x14ac:dyDescent="0.25">
      <c r="A443" s="562" t="s">
        <v>632</v>
      </c>
      <c r="B443" s="563">
        <v>12.25</v>
      </c>
      <c r="C443" s="564">
        <v>7508.37</v>
      </c>
      <c r="D443" s="560">
        <f t="shared" si="14"/>
        <v>-8.1632653061224202E-3</v>
      </c>
      <c r="E443" s="560">
        <f t="shared" si="15"/>
        <v>-1.4834111797900226E-2</v>
      </c>
    </row>
    <row r="444" spans="1:5" x14ac:dyDescent="0.25">
      <c r="A444" s="562" t="s">
        <v>633</v>
      </c>
      <c r="B444" s="563">
        <v>12.25</v>
      </c>
      <c r="C444" s="564">
        <v>7518.66</v>
      </c>
      <c r="D444" s="560">
        <f t="shared" si="14"/>
        <v>0</v>
      </c>
      <c r="E444" s="560">
        <f t="shared" si="15"/>
        <v>-1.3685949357997254E-3</v>
      </c>
    </row>
    <row r="445" spans="1:5" x14ac:dyDescent="0.25">
      <c r="A445" s="562" t="s">
        <v>634</v>
      </c>
      <c r="B445" s="563">
        <v>12.05</v>
      </c>
      <c r="C445" s="564">
        <v>7460.75</v>
      </c>
      <c r="D445" s="560">
        <f t="shared" si="14"/>
        <v>1.6597510373443924E-2</v>
      </c>
      <c r="E445" s="560">
        <f t="shared" si="15"/>
        <v>7.7619542271219182E-3</v>
      </c>
    </row>
    <row r="446" spans="1:5" x14ac:dyDescent="0.25">
      <c r="A446" s="562" t="s">
        <v>635</v>
      </c>
      <c r="B446" s="563">
        <v>11.98</v>
      </c>
      <c r="C446" s="564">
        <v>7388.52</v>
      </c>
      <c r="D446" s="560">
        <f t="shared" si="14"/>
        <v>5.843071786310541E-3</v>
      </c>
      <c r="E446" s="560">
        <f t="shared" si="15"/>
        <v>9.775976785607883E-3</v>
      </c>
    </row>
    <row r="447" spans="1:5" x14ac:dyDescent="0.25">
      <c r="A447" s="562" t="s">
        <v>636</v>
      </c>
      <c r="B447" s="563">
        <v>11.98</v>
      </c>
      <c r="C447" s="564">
        <v>7360.97</v>
      </c>
      <c r="D447" s="560">
        <f t="shared" si="14"/>
        <v>0</v>
      </c>
      <c r="E447" s="560">
        <f t="shared" si="15"/>
        <v>3.7427132565409425E-3</v>
      </c>
    </row>
    <row r="448" spans="1:5" x14ac:dyDescent="0.25">
      <c r="A448" s="562" t="s">
        <v>637</v>
      </c>
      <c r="B448" s="563">
        <v>11.56</v>
      </c>
      <c r="C448" s="564">
        <v>7142.45</v>
      </c>
      <c r="D448" s="560">
        <f t="shared" si="14"/>
        <v>3.6332179930795842E-2</v>
      </c>
      <c r="E448" s="560">
        <f t="shared" si="15"/>
        <v>3.0594543889001735E-2</v>
      </c>
    </row>
    <row r="449" spans="1:5" x14ac:dyDescent="0.25">
      <c r="A449" s="562" t="s">
        <v>638</v>
      </c>
      <c r="B449" s="563">
        <v>11.81</v>
      </c>
      <c r="C449" s="564">
        <v>7237.66</v>
      </c>
      <c r="D449" s="560">
        <f t="shared" si="14"/>
        <v>-2.1168501270110076E-2</v>
      </c>
      <c r="E449" s="560">
        <f t="shared" si="15"/>
        <v>-1.315480417704065E-2</v>
      </c>
    </row>
    <row r="450" spans="1:5" x14ac:dyDescent="0.25">
      <c r="A450" s="562" t="s">
        <v>639</v>
      </c>
      <c r="B450" s="563">
        <v>11.71</v>
      </c>
      <c r="C450" s="564">
        <v>7217.12</v>
      </c>
      <c r="D450" s="560">
        <f t="shared" si="14"/>
        <v>8.5397096498718728E-3</v>
      </c>
      <c r="E450" s="560">
        <f t="shared" si="15"/>
        <v>2.846010597024847E-3</v>
      </c>
    </row>
    <row r="451" spans="1:5" x14ac:dyDescent="0.25">
      <c r="A451" s="562" t="s">
        <v>640</v>
      </c>
      <c r="B451" s="563">
        <v>11.46</v>
      </c>
      <c r="C451" s="564">
        <v>7184.75</v>
      </c>
      <c r="D451" s="560">
        <f t="shared" si="14"/>
        <v>2.181500872600349E-2</v>
      </c>
      <c r="E451" s="560">
        <f t="shared" si="15"/>
        <v>4.5053759699363082E-3</v>
      </c>
    </row>
    <row r="452" spans="1:5" x14ac:dyDescent="0.25">
      <c r="A452" s="562" t="s">
        <v>641</v>
      </c>
      <c r="B452" s="563">
        <v>11.42</v>
      </c>
      <c r="C452" s="564">
        <v>7277.62</v>
      </c>
      <c r="D452" s="560">
        <f t="shared" si="14"/>
        <v>3.5026269702277519E-3</v>
      </c>
      <c r="E452" s="560">
        <f t="shared" si="15"/>
        <v>-1.2761040010333034E-2</v>
      </c>
    </row>
    <row r="453" spans="1:5" x14ac:dyDescent="0.25">
      <c r="A453" s="562" t="s">
        <v>642</v>
      </c>
      <c r="B453" s="563">
        <v>11.45</v>
      </c>
      <c r="C453" s="564">
        <v>7363.49</v>
      </c>
      <c r="D453" s="560">
        <f t="shared" si="14"/>
        <v>-2.6200873362444859E-3</v>
      </c>
      <c r="E453" s="560">
        <f t="shared" si="15"/>
        <v>-1.1661589816785233E-2</v>
      </c>
    </row>
    <row r="454" spans="1:5" x14ac:dyDescent="0.25">
      <c r="A454" s="562" t="s">
        <v>643</v>
      </c>
      <c r="B454" s="563">
        <v>10.96</v>
      </c>
      <c r="C454" s="564">
        <v>7502.88</v>
      </c>
      <c r="D454" s="560">
        <f t="shared" si="14"/>
        <v>4.4708029197080147E-2</v>
      </c>
      <c r="E454" s="560">
        <f t="shared" si="15"/>
        <v>-1.8578199304800334E-2</v>
      </c>
    </row>
    <row r="455" spans="1:5" x14ac:dyDescent="0.25">
      <c r="A455" s="562" t="s">
        <v>644</v>
      </c>
      <c r="B455" s="563">
        <v>10.67</v>
      </c>
      <c r="C455" s="564">
        <v>7369.52</v>
      </c>
      <c r="D455" s="560">
        <f t="shared" si="14"/>
        <v>2.7179006560449945E-2</v>
      </c>
      <c r="E455" s="560">
        <f t="shared" si="15"/>
        <v>1.8096158230115348E-2</v>
      </c>
    </row>
    <row r="456" spans="1:5" x14ac:dyDescent="0.25">
      <c r="A456" s="562" t="s">
        <v>645</v>
      </c>
      <c r="B456" s="563">
        <v>10.62</v>
      </c>
      <c r="C456" s="564">
        <v>7559.71</v>
      </c>
      <c r="D456" s="560">
        <f t="shared" si="14"/>
        <v>4.7080979284369788E-3</v>
      </c>
      <c r="E456" s="560">
        <f t="shared" si="15"/>
        <v>-2.515837247725106E-2</v>
      </c>
    </row>
    <row r="457" spans="1:5" x14ac:dyDescent="0.25">
      <c r="A457" s="562" t="s">
        <v>646</v>
      </c>
      <c r="B457" s="563">
        <v>10.7</v>
      </c>
      <c r="C457" s="564">
        <v>7539.32</v>
      </c>
      <c r="D457" s="560">
        <f t="shared" si="14"/>
        <v>-7.4766355140186988E-3</v>
      </c>
      <c r="E457" s="560">
        <f t="shared" si="15"/>
        <v>2.7044879379042575E-3</v>
      </c>
    </row>
    <row r="458" spans="1:5" x14ac:dyDescent="0.25">
      <c r="A458" s="562" t="s">
        <v>647</v>
      </c>
      <c r="B458" s="563">
        <v>10.15</v>
      </c>
      <c r="C458" s="564">
        <v>7531.01</v>
      </c>
      <c r="D458" s="560">
        <f t="shared" si="14"/>
        <v>5.4187192118226493E-2</v>
      </c>
      <c r="E458" s="560">
        <f t="shared" si="15"/>
        <v>1.103437653116845E-3</v>
      </c>
    </row>
    <row r="459" spans="1:5" x14ac:dyDescent="0.25">
      <c r="A459" s="562" t="s">
        <v>648</v>
      </c>
      <c r="B459" s="563">
        <v>10.01</v>
      </c>
      <c r="C459" s="564">
        <v>7453.55</v>
      </c>
      <c r="D459" s="560">
        <f t="shared" si="14"/>
        <v>1.3986013986014043E-2</v>
      </c>
      <c r="E459" s="560">
        <f t="shared" si="15"/>
        <v>1.0392363370474476E-2</v>
      </c>
    </row>
    <row r="460" spans="1:5" x14ac:dyDescent="0.25">
      <c r="A460" s="562" t="s">
        <v>649</v>
      </c>
      <c r="B460" s="563">
        <v>9.76</v>
      </c>
      <c r="C460" s="564">
        <v>7450.43</v>
      </c>
      <c r="D460" s="560">
        <f t="shared" si="14"/>
        <v>2.5614754098360656E-2</v>
      </c>
      <c r="E460" s="560">
        <f t="shared" si="15"/>
        <v>4.1876777581963603E-4</v>
      </c>
    </row>
    <row r="461" spans="1:5" x14ac:dyDescent="0.25">
      <c r="A461" s="562" t="s">
        <v>650</v>
      </c>
      <c r="B461" s="563">
        <v>10.06</v>
      </c>
      <c r="C461" s="564">
        <v>7484.5</v>
      </c>
      <c r="D461" s="560">
        <f t="shared" si="14"/>
        <v>-2.982107355864818E-2</v>
      </c>
      <c r="E461" s="560">
        <f t="shared" si="15"/>
        <v>-4.5520742868594708E-3</v>
      </c>
    </row>
    <row r="462" spans="1:5" x14ac:dyDescent="0.25">
      <c r="A462" s="562" t="s">
        <v>651</v>
      </c>
      <c r="B462" s="563">
        <v>10.029999999999999</v>
      </c>
      <c r="C462" s="564">
        <v>7149.71</v>
      </c>
      <c r="D462" s="560">
        <f t="shared" si="14"/>
        <v>2.9910269192423866E-3</v>
      </c>
      <c r="E462" s="560">
        <f t="shared" si="15"/>
        <v>4.6825675446976169E-2</v>
      </c>
    </row>
    <row r="463" spans="1:5" x14ac:dyDescent="0.25">
      <c r="A463" s="562" t="s">
        <v>652</v>
      </c>
      <c r="B463" s="563">
        <v>10.07</v>
      </c>
      <c r="C463" s="564">
        <v>7120.55</v>
      </c>
      <c r="D463" s="560">
        <f t="shared" si="14"/>
        <v>-3.9721946375373312E-3</v>
      </c>
      <c r="E463" s="560">
        <f t="shared" si="15"/>
        <v>4.0951892761092691E-3</v>
      </c>
    </row>
    <row r="464" spans="1:5" x14ac:dyDescent="0.25">
      <c r="A464" s="562" t="s">
        <v>653</v>
      </c>
      <c r="B464" s="563">
        <v>9.8699999999999992</v>
      </c>
      <c r="C464" s="564">
        <v>6898.18</v>
      </c>
      <c r="D464" s="560">
        <f t="shared" si="14"/>
        <v>2.0263424518743776E-2</v>
      </c>
      <c r="E464" s="560">
        <f t="shared" si="15"/>
        <v>3.2236039071175275E-2</v>
      </c>
    </row>
    <row r="465" spans="1:5" x14ac:dyDescent="0.25">
      <c r="A465" s="562" t="s">
        <v>654</v>
      </c>
      <c r="B465" s="563">
        <v>9.99</v>
      </c>
      <c r="C465" s="564">
        <v>6919.92</v>
      </c>
      <c r="D465" s="560">
        <f t="shared" si="14"/>
        <v>-1.2012012012012111E-2</v>
      </c>
      <c r="E465" s="560">
        <f t="shared" si="15"/>
        <v>-3.1416548168186598E-3</v>
      </c>
    </row>
    <row r="466" spans="1:5" x14ac:dyDescent="0.25">
      <c r="A466" s="562" t="s">
        <v>655</v>
      </c>
      <c r="B466" s="563">
        <v>9.98</v>
      </c>
      <c r="C466" s="564">
        <v>7094.89</v>
      </c>
      <c r="D466" s="560">
        <f t="shared" si="14"/>
        <v>1.0020040080160107E-3</v>
      </c>
      <c r="E466" s="560">
        <f t="shared" si="15"/>
        <v>-2.4661411241048169E-2</v>
      </c>
    </row>
    <row r="467" spans="1:5" x14ac:dyDescent="0.25">
      <c r="A467" s="562" t="s">
        <v>656</v>
      </c>
      <c r="B467" s="563">
        <v>10.050000000000001</v>
      </c>
      <c r="C467" s="564">
        <v>7134.47</v>
      </c>
      <c r="D467" s="560">
        <f t="shared" si="14"/>
        <v>-6.9651741293532618E-3</v>
      </c>
      <c r="E467" s="560">
        <f t="shared" si="15"/>
        <v>-5.5477141259266524E-3</v>
      </c>
    </row>
    <row r="468" spans="1:5" x14ac:dyDescent="0.25">
      <c r="A468" s="562" t="s">
        <v>657</v>
      </c>
      <c r="B468" s="563">
        <v>10.29</v>
      </c>
      <c r="C468" s="564">
        <v>7282.47</v>
      </c>
      <c r="D468" s="560">
        <f t="shared" si="14"/>
        <v>-2.3323615160349705E-2</v>
      </c>
      <c r="E468" s="560">
        <f t="shared" si="15"/>
        <v>-2.0322775102403441E-2</v>
      </c>
    </row>
    <row r="469" spans="1:5" x14ac:dyDescent="0.25">
      <c r="A469" s="562" t="s">
        <v>658</v>
      </c>
      <c r="B469" s="563">
        <v>10.26</v>
      </c>
      <c r="C469" s="564">
        <v>7274.16</v>
      </c>
      <c r="D469" s="560">
        <f t="shared" si="14"/>
        <v>2.9239766081870723E-3</v>
      </c>
      <c r="E469" s="560">
        <f t="shared" si="15"/>
        <v>1.1423999472104545E-3</v>
      </c>
    </row>
    <row r="470" spans="1:5" x14ac:dyDescent="0.25">
      <c r="A470" s="562" t="s">
        <v>659</v>
      </c>
      <c r="B470" s="563">
        <v>10.42</v>
      </c>
      <c r="C470" s="564">
        <v>7392.02</v>
      </c>
      <c r="D470" s="560">
        <f t="shared" si="14"/>
        <v>-1.5355086372360858E-2</v>
      </c>
      <c r="E470" s="560">
        <f t="shared" si="15"/>
        <v>-1.5944220930138253E-2</v>
      </c>
    </row>
    <row r="471" spans="1:5" x14ac:dyDescent="0.25">
      <c r="A471" s="562" t="s">
        <v>660</v>
      </c>
      <c r="B471" s="563">
        <v>10.7</v>
      </c>
      <c r="C471" s="564">
        <v>7509.05</v>
      </c>
      <c r="D471" s="560">
        <f t="shared" si="14"/>
        <v>-2.6168224299065363E-2</v>
      </c>
      <c r="E471" s="560">
        <f t="shared" si="15"/>
        <v>-1.5585193866068244E-2</v>
      </c>
    </row>
    <row r="472" spans="1:5" x14ac:dyDescent="0.25">
      <c r="A472" s="562" t="s">
        <v>661</v>
      </c>
      <c r="B472" s="563">
        <v>10.64</v>
      </c>
      <c r="C472" s="564">
        <v>7493.29</v>
      </c>
      <c r="D472" s="560">
        <f t="shared" si="14"/>
        <v>5.6390977443607814E-3</v>
      </c>
      <c r="E472" s="560">
        <f t="shared" si="15"/>
        <v>2.1032150096953698E-3</v>
      </c>
    </row>
    <row r="473" spans="1:5" x14ac:dyDescent="0.25">
      <c r="A473" s="562" t="s">
        <v>662</v>
      </c>
      <c r="B473" s="563">
        <v>10.64</v>
      </c>
      <c r="C473" s="564">
        <v>7576.18</v>
      </c>
      <c r="D473" s="560">
        <f t="shared" si="14"/>
        <v>0</v>
      </c>
      <c r="E473" s="560">
        <f t="shared" si="15"/>
        <v>-1.0940869937092351E-2</v>
      </c>
    </row>
    <row r="474" spans="1:5" x14ac:dyDescent="0.25">
      <c r="A474" s="562" t="s">
        <v>663</v>
      </c>
      <c r="B474" s="563">
        <v>10.58</v>
      </c>
      <c r="C474" s="564">
        <v>7423.64</v>
      </c>
      <c r="D474" s="560">
        <f t="shared" si="14"/>
        <v>5.6710775047259451E-3</v>
      </c>
      <c r="E474" s="560">
        <f t="shared" si="15"/>
        <v>2.054787139462581E-2</v>
      </c>
    </row>
    <row r="475" spans="1:5" x14ac:dyDescent="0.25">
      <c r="A475" s="562" t="s">
        <v>664</v>
      </c>
      <c r="B475" s="563">
        <v>10.47</v>
      </c>
      <c r="C475" s="564">
        <v>7353.45</v>
      </c>
      <c r="D475" s="560">
        <f t="shared" si="14"/>
        <v>1.0506208213944549E-2</v>
      </c>
      <c r="E475" s="560">
        <f t="shared" si="15"/>
        <v>9.5451794735804986E-3</v>
      </c>
    </row>
    <row r="476" spans="1:5" x14ac:dyDescent="0.25">
      <c r="A476" s="562" t="s">
        <v>665</v>
      </c>
      <c r="B476" s="563">
        <v>10.77</v>
      </c>
      <c r="C476" s="564">
        <v>7671.91</v>
      </c>
      <c r="D476" s="560">
        <f t="shared" si="14"/>
        <v>-2.785515320334252E-2</v>
      </c>
      <c r="E476" s="560">
        <f t="shared" si="15"/>
        <v>-4.1509871726858112E-2</v>
      </c>
    </row>
    <row r="477" spans="1:5" x14ac:dyDescent="0.25">
      <c r="A477" s="562" t="s">
        <v>666</v>
      </c>
      <c r="B477" s="563">
        <v>10.87</v>
      </c>
      <c r="C477" s="564">
        <v>7590.43</v>
      </c>
      <c r="D477" s="560">
        <f t="shared" si="14"/>
        <v>-9.1996320147193795E-3</v>
      </c>
      <c r="E477" s="560">
        <f t="shared" si="15"/>
        <v>1.0734569714759185E-2</v>
      </c>
    </row>
    <row r="478" spans="1:5" x14ac:dyDescent="0.25">
      <c r="A478" s="562" t="s">
        <v>667</v>
      </c>
      <c r="B478" s="563">
        <v>10.65</v>
      </c>
      <c r="C478" s="564">
        <v>7552.23</v>
      </c>
      <c r="D478" s="560">
        <f t="shared" si="14"/>
        <v>2.0657276995305056E-2</v>
      </c>
      <c r="E478" s="560">
        <f t="shared" si="15"/>
        <v>5.0581086645932038E-3</v>
      </c>
    </row>
    <row r="479" spans="1:5" x14ac:dyDescent="0.25">
      <c r="A479" s="562" t="s">
        <v>668</v>
      </c>
      <c r="B479" s="563">
        <v>10.76</v>
      </c>
      <c r="C479" s="564">
        <v>7605.14</v>
      </c>
      <c r="D479" s="560">
        <f t="shared" si="14"/>
        <v>-1.0223048327137494E-2</v>
      </c>
      <c r="E479" s="560">
        <f t="shared" si="15"/>
        <v>-6.9571368837392554E-3</v>
      </c>
    </row>
    <row r="480" spans="1:5" x14ac:dyDescent="0.25">
      <c r="A480" s="562" t="s">
        <v>669</v>
      </c>
      <c r="B480" s="563">
        <v>10.68</v>
      </c>
      <c r="C480" s="564">
        <v>7461.1</v>
      </c>
      <c r="D480" s="560">
        <f t="shared" si="14"/>
        <v>7.4906367041198572E-3</v>
      </c>
      <c r="E480" s="560">
        <f t="shared" si="15"/>
        <v>1.9305464341719043E-2</v>
      </c>
    </row>
    <row r="481" spans="1:5" x14ac:dyDescent="0.25">
      <c r="A481" s="562" t="s">
        <v>670</v>
      </c>
      <c r="B481" s="563">
        <v>10.53</v>
      </c>
      <c r="C481" s="564">
        <v>7337.15</v>
      </c>
      <c r="D481" s="560">
        <f t="shared" si="14"/>
        <v>1.424501424501428E-2</v>
      </c>
      <c r="E481" s="560">
        <f t="shared" si="15"/>
        <v>1.6893480438590017E-2</v>
      </c>
    </row>
    <row r="482" spans="1:5" x14ac:dyDescent="0.25">
      <c r="A482" s="562" t="s">
        <v>671</v>
      </c>
      <c r="B482" s="563">
        <v>10.72</v>
      </c>
      <c r="C482" s="564">
        <v>7563.38</v>
      </c>
      <c r="D482" s="560">
        <f t="shared" si="14"/>
        <v>-1.7723880597015042E-2</v>
      </c>
      <c r="E482" s="560">
        <f t="shared" si="15"/>
        <v>-2.9911230164291688E-2</v>
      </c>
    </row>
    <row r="483" spans="1:5" x14ac:dyDescent="0.25">
      <c r="A483" s="562" t="s">
        <v>672</v>
      </c>
      <c r="B483" s="563">
        <v>11.05</v>
      </c>
      <c r="C483" s="564">
        <v>7803.94</v>
      </c>
      <c r="D483" s="560">
        <f t="shared" si="14"/>
        <v>-2.9864253393665163E-2</v>
      </c>
      <c r="E483" s="560">
        <f t="shared" si="15"/>
        <v>-3.0825454834352839E-2</v>
      </c>
    </row>
    <row r="484" spans="1:5" x14ac:dyDescent="0.25">
      <c r="A484" s="562" t="s">
        <v>673</v>
      </c>
      <c r="B484" s="563">
        <v>11.01</v>
      </c>
      <c r="C484" s="564">
        <v>7813.99</v>
      </c>
      <c r="D484" s="560">
        <f t="shared" si="14"/>
        <v>3.6330608537693846E-3</v>
      </c>
      <c r="E484" s="560">
        <f t="shared" si="15"/>
        <v>-1.2861547045747669E-3</v>
      </c>
    </row>
    <row r="485" spans="1:5" x14ac:dyDescent="0.25">
      <c r="A485" s="562" t="s">
        <v>674</v>
      </c>
      <c r="B485" s="563">
        <v>10.75</v>
      </c>
      <c r="C485" s="564">
        <v>7506.15</v>
      </c>
      <c r="D485" s="560">
        <f t="shared" si="14"/>
        <v>2.4186046511627889E-2</v>
      </c>
      <c r="E485" s="560">
        <f t="shared" si="15"/>
        <v>4.1011703736269611E-2</v>
      </c>
    </row>
    <row r="486" spans="1:5" x14ac:dyDescent="0.25">
      <c r="A486" s="562" t="s">
        <v>675</v>
      </c>
      <c r="B486" s="563">
        <v>10.71</v>
      </c>
      <c r="C486" s="564">
        <v>7400.82</v>
      </c>
      <c r="D486" s="560">
        <f t="shared" si="14"/>
        <v>3.7348272642389489E-3</v>
      </c>
      <c r="E486" s="560">
        <f t="shared" si="15"/>
        <v>1.4232206701419564E-2</v>
      </c>
    </row>
    <row r="487" spans="1:5" x14ac:dyDescent="0.25">
      <c r="A487" s="562" t="s">
        <v>676</v>
      </c>
      <c r="B487" s="563">
        <v>10.87</v>
      </c>
      <c r="C487" s="564">
        <v>7547.63</v>
      </c>
      <c r="D487" s="560">
        <f t="shared" si="14"/>
        <v>-1.4719411223550909E-2</v>
      </c>
      <c r="E487" s="560">
        <f t="shared" si="15"/>
        <v>-1.9451138966801552E-2</v>
      </c>
    </row>
    <row r="488" spans="1:5" x14ac:dyDescent="0.25">
      <c r="A488" s="562" t="s">
        <v>677</v>
      </c>
      <c r="B488" s="563">
        <v>10.64</v>
      </c>
      <c r="C488" s="564">
        <v>7431.1</v>
      </c>
      <c r="D488" s="560">
        <f t="shared" si="14"/>
        <v>2.1616541353383329E-2</v>
      </c>
      <c r="E488" s="560">
        <f t="shared" si="15"/>
        <v>1.5681393064283854E-2</v>
      </c>
    </row>
    <row r="489" spans="1:5" x14ac:dyDescent="0.25">
      <c r="A489" s="562" t="s">
        <v>678</v>
      </c>
      <c r="B489" s="563">
        <v>10.17</v>
      </c>
      <c r="C489" s="564">
        <v>7273.9</v>
      </c>
      <c r="D489" s="560">
        <f t="shared" si="14"/>
        <v>4.6214355948869287E-2</v>
      </c>
      <c r="E489" s="560">
        <f t="shared" si="15"/>
        <v>2.1611515143183262E-2</v>
      </c>
    </row>
    <row r="490" spans="1:5" x14ac:dyDescent="0.25">
      <c r="A490" s="562" t="s">
        <v>679</v>
      </c>
      <c r="B490" s="563">
        <v>10.33</v>
      </c>
      <c r="C490" s="564">
        <v>7240.26</v>
      </c>
      <c r="D490" s="560">
        <f t="shared" si="14"/>
        <v>-1.5488867376573102E-2</v>
      </c>
      <c r="E490" s="560">
        <f t="shared" si="15"/>
        <v>4.6462419857849603E-3</v>
      </c>
    </row>
    <row r="491" spans="1:5" x14ac:dyDescent="0.25">
      <c r="A491" s="562" t="s">
        <v>680</v>
      </c>
      <c r="B491" s="563">
        <v>10.24</v>
      </c>
      <c r="C491" s="564">
        <v>7341.73</v>
      </c>
      <c r="D491" s="560">
        <f t="shared" si="14"/>
        <v>8.7890624999999861E-3</v>
      </c>
      <c r="E491" s="560">
        <f t="shared" si="15"/>
        <v>-1.3820993144667448E-2</v>
      </c>
    </row>
    <row r="492" spans="1:5" x14ac:dyDescent="0.25">
      <c r="A492" s="562" t="s">
        <v>681</v>
      </c>
      <c r="B492" s="563">
        <v>10.199999999999999</v>
      </c>
      <c r="C492" s="564">
        <v>7188.66</v>
      </c>
      <c r="D492" s="560">
        <f t="shared" si="14"/>
        <v>3.9215686274510714E-3</v>
      </c>
      <c r="E492" s="560">
        <f t="shared" si="15"/>
        <v>2.1293259105313052E-2</v>
      </c>
    </row>
    <row r="493" spans="1:5" x14ac:dyDescent="0.25">
      <c r="A493" s="562" t="s">
        <v>682</v>
      </c>
      <c r="B493" s="563">
        <v>10.34</v>
      </c>
      <c r="C493" s="564">
        <v>7350.46</v>
      </c>
      <c r="D493" s="560">
        <f t="shared" si="14"/>
        <v>-1.3539651837524234E-2</v>
      </c>
      <c r="E493" s="560">
        <f t="shared" si="15"/>
        <v>-2.2012227806150933E-2</v>
      </c>
    </row>
    <row r="494" spans="1:5" x14ac:dyDescent="0.25">
      <c r="A494" s="562" t="s">
        <v>683</v>
      </c>
      <c r="B494" s="563">
        <v>10.220000000000001</v>
      </c>
      <c r="C494" s="564">
        <v>7229.08</v>
      </c>
      <c r="D494" s="560">
        <f t="shared" si="14"/>
        <v>1.174168297455961E-2</v>
      </c>
      <c r="E494" s="560">
        <f t="shared" si="15"/>
        <v>1.6790518295550762E-2</v>
      </c>
    </row>
    <row r="495" spans="1:5" x14ac:dyDescent="0.25">
      <c r="A495" s="562" t="s">
        <v>684</v>
      </c>
      <c r="B495" s="563">
        <v>9.5399999999999991</v>
      </c>
      <c r="C495" s="564">
        <v>7263.69</v>
      </c>
      <c r="D495" s="560">
        <f t="shared" si="14"/>
        <v>7.1278825995807288E-2</v>
      </c>
      <c r="E495" s="560">
        <f t="shared" si="15"/>
        <v>-4.7647958544485896E-3</v>
      </c>
    </row>
    <row r="496" spans="1:5" x14ac:dyDescent="0.25">
      <c r="A496" s="562" t="s">
        <v>685</v>
      </c>
      <c r="B496" s="563">
        <v>10.16</v>
      </c>
      <c r="C496" s="564">
        <v>7161.26</v>
      </c>
      <c r="D496" s="560">
        <f t="shared" si="14"/>
        <v>-6.1023622047244194E-2</v>
      </c>
      <c r="E496" s="560">
        <f t="shared" si="15"/>
        <v>1.4303348852017575E-2</v>
      </c>
    </row>
    <row r="497" spans="1:5" x14ac:dyDescent="0.25">
      <c r="A497" s="562" t="s">
        <v>686</v>
      </c>
      <c r="B497" s="563">
        <v>9.6999999999999993</v>
      </c>
      <c r="C497" s="564">
        <v>7173.45</v>
      </c>
      <c r="D497" s="560">
        <f t="shared" si="14"/>
        <v>4.7422680412371222E-2</v>
      </c>
      <c r="E497" s="560">
        <f t="shared" si="15"/>
        <v>-1.6993218047103695E-3</v>
      </c>
    </row>
    <row r="498" spans="1:5" x14ac:dyDescent="0.25">
      <c r="A498" s="562" t="s">
        <v>687</v>
      </c>
      <c r="B498" s="563">
        <v>9.7100000000000009</v>
      </c>
      <c r="C498" s="564">
        <v>6925.8</v>
      </c>
      <c r="D498" s="560">
        <f t="shared" si="14"/>
        <v>-1.0298661174048982E-3</v>
      </c>
      <c r="E498" s="560">
        <f t="shared" si="15"/>
        <v>3.5757602009876065E-2</v>
      </c>
    </row>
    <row r="499" spans="1:5" x14ac:dyDescent="0.25">
      <c r="A499" s="562" t="s">
        <v>688</v>
      </c>
      <c r="B499" s="563">
        <v>10.07</v>
      </c>
      <c r="C499" s="564">
        <v>6997.64</v>
      </c>
      <c r="D499" s="560">
        <f t="shared" si="14"/>
        <v>-3.5749751737835095E-2</v>
      </c>
      <c r="E499" s="560">
        <f t="shared" si="15"/>
        <v>-1.0266318358760974E-2</v>
      </c>
    </row>
    <row r="500" spans="1:5" x14ac:dyDescent="0.25">
      <c r="A500" s="562" t="s">
        <v>689</v>
      </c>
      <c r="B500" s="563">
        <v>9.5299999999999994</v>
      </c>
      <c r="C500" s="564">
        <v>6844.16</v>
      </c>
      <c r="D500" s="560">
        <f t="shared" si="14"/>
        <v>5.6663168940188975E-2</v>
      </c>
      <c r="E500" s="560">
        <f t="shared" si="15"/>
        <v>2.2424957920329225E-2</v>
      </c>
    </row>
    <row r="501" spans="1:5" x14ac:dyDescent="0.25">
      <c r="A501" s="562" t="s">
        <v>690</v>
      </c>
      <c r="B501" s="563">
        <v>9.58</v>
      </c>
      <c r="C501" s="564">
        <v>6722.98</v>
      </c>
      <c r="D501" s="560">
        <f t="shared" si="14"/>
        <v>-5.2192066805846257E-3</v>
      </c>
      <c r="E501" s="560">
        <f t="shared" si="15"/>
        <v>1.802474497916107E-2</v>
      </c>
    </row>
    <row r="502" spans="1:5" x14ac:dyDescent="0.25">
      <c r="A502" s="562" t="s">
        <v>691</v>
      </c>
      <c r="B502" s="563">
        <v>9.66</v>
      </c>
      <c r="C502" s="564">
        <v>6571.45</v>
      </c>
      <c r="D502" s="560">
        <f t="shared" si="14"/>
        <v>-8.2815734989648108E-3</v>
      </c>
      <c r="E502" s="560">
        <f t="shared" si="15"/>
        <v>2.3058837851615662E-2</v>
      </c>
    </row>
    <row r="503" spans="1:5" x14ac:dyDescent="0.25">
      <c r="A503" s="562" t="s">
        <v>692</v>
      </c>
      <c r="B503" s="563">
        <v>10.33</v>
      </c>
      <c r="C503" s="564">
        <v>6791.65</v>
      </c>
      <c r="D503" s="560">
        <f t="shared" ref="D503:D566" si="16">(B502-B503)/B503</f>
        <v>-6.4859632139399798E-2</v>
      </c>
      <c r="E503" s="560">
        <f t="shared" ref="E503:E566" si="17">(C502-C503)/C503</f>
        <v>-3.2422165453166729E-2</v>
      </c>
    </row>
    <row r="504" spans="1:5" x14ac:dyDescent="0.25">
      <c r="A504" s="562" t="s">
        <v>693</v>
      </c>
      <c r="B504" s="563">
        <v>10.69</v>
      </c>
      <c r="C504" s="564">
        <v>6974.91</v>
      </c>
      <c r="D504" s="560">
        <f t="shared" si="16"/>
        <v>-3.3676333021515382E-2</v>
      </c>
      <c r="E504" s="560">
        <f t="shared" si="17"/>
        <v>-2.6274174147049956E-2</v>
      </c>
    </row>
    <row r="505" spans="1:5" x14ac:dyDescent="0.25">
      <c r="A505" s="562" t="s">
        <v>694</v>
      </c>
      <c r="B505" s="563">
        <v>10.69</v>
      </c>
      <c r="C505" s="564">
        <v>6876.94</v>
      </c>
      <c r="D505" s="560">
        <f t="shared" si="16"/>
        <v>0</v>
      </c>
      <c r="E505" s="560">
        <f t="shared" si="17"/>
        <v>1.4246161810340103E-2</v>
      </c>
    </row>
    <row r="506" spans="1:5" x14ac:dyDescent="0.25">
      <c r="A506" s="562" t="s">
        <v>695</v>
      </c>
      <c r="B506" s="563">
        <v>10.81</v>
      </c>
      <c r="C506" s="564">
        <v>7043.12</v>
      </c>
      <c r="D506" s="560">
        <f t="shared" si="16"/>
        <v>-1.1100832562442275E-2</v>
      </c>
      <c r="E506" s="560">
        <f t="shared" si="17"/>
        <v>-2.3594656913413416E-2</v>
      </c>
    </row>
    <row r="507" spans="1:5" x14ac:dyDescent="0.25">
      <c r="A507" s="562" t="s">
        <v>696</v>
      </c>
      <c r="B507" s="563">
        <v>10.88</v>
      </c>
      <c r="C507" s="564">
        <v>6940.81</v>
      </c>
      <c r="D507" s="560">
        <f t="shared" si="16"/>
        <v>-6.4338235294117904E-3</v>
      </c>
      <c r="E507" s="560">
        <f t="shared" si="17"/>
        <v>1.4740354511937294E-2</v>
      </c>
    </row>
    <row r="508" spans="1:5" x14ac:dyDescent="0.25">
      <c r="A508" s="562" t="s">
        <v>697</v>
      </c>
      <c r="B508" s="563">
        <v>10.87</v>
      </c>
      <c r="C508" s="564">
        <v>6770.73</v>
      </c>
      <c r="D508" s="560">
        <f t="shared" si="16"/>
        <v>9.1996320147208499E-4</v>
      </c>
      <c r="E508" s="560">
        <f t="shared" si="17"/>
        <v>2.5119891060491388E-2</v>
      </c>
    </row>
    <row r="509" spans="1:5" x14ac:dyDescent="0.25">
      <c r="A509" s="562" t="s">
        <v>698</v>
      </c>
      <c r="B509" s="563">
        <v>10.3</v>
      </c>
      <c r="C509" s="564">
        <v>6726.62</v>
      </c>
      <c r="D509" s="560">
        <f t="shared" si="16"/>
        <v>5.5339805825242568E-2</v>
      </c>
      <c r="E509" s="560">
        <f t="shared" si="17"/>
        <v>6.5575281493528209E-3</v>
      </c>
    </row>
    <row r="510" spans="1:5" x14ac:dyDescent="0.25">
      <c r="A510" s="562" t="s">
        <v>699</v>
      </c>
      <c r="B510" s="563">
        <v>11</v>
      </c>
      <c r="C510" s="564">
        <v>6981.33</v>
      </c>
      <c r="D510" s="560">
        <f t="shared" si="16"/>
        <v>-6.3636363636363574E-2</v>
      </c>
      <c r="E510" s="560">
        <f t="shared" si="17"/>
        <v>-3.648445210296606E-2</v>
      </c>
    </row>
    <row r="511" spans="1:5" x14ac:dyDescent="0.25">
      <c r="A511" s="562" t="s">
        <v>700</v>
      </c>
      <c r="B511" s="563">
        <v>11.34</v>
      </c>
      <c r="C511" s="564">
        <v>7217.11</v>
      </c>
      <c r="D511" s="560">
        <f t="shared" si="16"/>
        <v>-2.9982363315696637E-2</v>
      </c>
      <c r="E511" s="560">
        <f t="shared" si="17"/>
        <v>-3.2669586579669667E-2</v>
      </c>
    </row>
    <row r="512" spans="1:5" x14ac:dyDescent="0.25">
      <c r="A512" s="562" t="s">
        <v>701</v>
      </c>
      <c r="B512" s="563">
        <v>11.48</v>
      </c>
      <c r="C512" s="564">
        <v>7234.63</v>
      </c>
      <c r="D512" s="560">
        <f t="shared" si="16"/>
        <v>-1.2195121951219561E-2</v>
      </c>
      <c r="E512" s="560">
        <f t="shared" si="17"/>
        <v>-2.421685697817364E-3</v>
      </c>
    </row>
    <row r="513" spans="1:5" x14ac:dyDescent="0.25">
      <c r="A513" s="562" t="s">
        <v>702</v>
      </c>
      <c r="B513" s="563">
        <v>11.65</v>
      </c>
      <c r="C513" s="564">
        <v>7348.18</v>
      </c>
      <c r="D513" s="560">
        <f t="shared" si="16"/>
        <v>-1.4592274678111581E-2</v>
      </c>
      <c r="E513" s="560">
        <f t="shared" si="17"/>
        <v>-1.5452806000941753E-2</v>
      </c>
    </row>
    <row r="514" spans="1:5" x14ac:dyDescent="0.25">
      <c r="A514" s="562" t="s">
        <v>703</v>
      </c>
      <c r="B514" s="563">
        <v>11.67</v>
      </c>
      <c r="C514" s="564">
        <v>7329.1</v>
      </c>
      <c r="D514" s="560">
        <f t="shared" si="16"/>
        <v>-1.7137960582690294E-3</v>
      </c>
      <c r="E514" s="560">
        <f t="shared" si="17"/>
        <v>2.6033210080364474E-3</v>
      </c>
    </row>
    <row r="515" spans="1:5" x14ac:dyDescent="0.25">
      <c r="A515" s="562" t="s">
        <v>704</v>
      </c>
      <c r="B515" s="563">
        <v>11.8</v>
      </c>
      <c r="C515" s="564">
        <v>7199.12</v>
      </c>
      <c r="D515" s="560">
        <f t="shared" si="16"/>
        <v>-1.1016949152542439E-2</v>
      </c>
      <c r="E515" s="560">
        <f t="shared" si="17"/>
        <v>1.805498449810539E-2</v>
      </c>
    </row>
    <row r="516" spans="1:5" x14ac:dyDescent="0.25">
      <c r="A516" s="562" t="s">
        <v>705</v>
      </c>
      <c r="B516" s="563">
        <v>11.72</v>
      </c>
      <c r="C516" s="564">
        <v>7109.95</v>
      </c>
      <c r="D516" s="560">
        <f t="shared" si="16"/>
        <v>6.8259385665529063E-3</v>
      </c>
      <c r="E516" s="560">
        <f t="shared" si="17"/>
        <v>1.2541579054705036E-2</v>
      </c>
    </row>
    <row r="517" spans="1:5" x14ac:dyDescent="0.25">
      <c r="A517" s="562" t="s">
        <v>706</v>
      </c>
      <c r="B517" s="563">
        <v>11.67</v>
      </c>
      <c r="C517" s="564">
        <v>7047.12</v>
      </c>
      <c r="D517" s="560">
        <f t="shared" si="16"/>
        <v>4.2844901456727258E-3</v>
      </c>
      <c r="E517" s="560">
        <f t="shared" si="17"/>
        <v>8.9156988954352881E-3</v>
      </c>
    </row>
    <row r="518" spans="1:5" x14ac:dyDescent="0.25">
      <c r="A518" s="562" t="s">
        <v>707</v>
      </c>
      <c r="B518" s="563">
        <v>11.85</v>
      </c>
      <c r="C518" s="564">
        <v>7045.01</v>
      </c>
      <c r="D518" s="560">
        <f t="shared" si="16"/>
        <v>-1.5189873417721496E-2</v>
      </c>
      <c r="E518" s="560">
        <f t="shared" si="17"/>
        <v>2.9950276862625779E-4</v>
      </c>
    </row>
    <row r="519" spans="1:5" x14ac:dyDescent="0.25">
      <c r="A519" s="562" t="s">
        <v>708</v>
      </c>
      <c r="B519" s="563">
        <v>11.63</v>
      </c>
      <c r="C519" s="564">
        <v>7257.36</v>
      </c>
      <c r="D519" s="560">
        <f t="shared" si="16"/>
        <v>1.891659501289758E-2</v>
      </c>
      <c r="E519" s="560">
        <f t="shared" si="17"/>
        <v>-2.9259951277048328E-2</v>
      </c>
    </row>
    <row r="520" spans="1:5" x14ac:dyDescent="0.25">
      <c r="A520" s="562" t="s">
        <v>709</v>
      </c>
      <c r="B520" s="563">
        <v>12.03</v>
      </c>
      <c r="C520" s="564">
        <v>7355.17</v>
      </c>
      <c r="D520" s="560">
        <f t="shared" si="16"/>
        <v>-3.325020781379872E-2</v>
      </c>
      <c r="E520" s="560">
        <f t="shared" si="17"/>
        <v>-1.3298129071116018E-2</v>
      </c>
    </row>
    <row r="521" spans="1:5" x14ac:dyDescent="0.25">
      <c r="A521" s="562" t="s">
        <v>710</v>
      </c>
      <c r="B521" s="563">
        <v>12.18</v>
      </c>
      <c r="C521" s="564">
        <v>7148.13</v>
      </c>
      <c r="D521" s="560">
        <f t="shared" si="16"/>
        <v>-1.2315270935960621E-2</v>
      </c>
      <c r="E521" s="560">
        <f t="shared" si="17"/>
        <v>2.8964218613819273E-2</v>
      </c>
    </row>
    <row r="522" spans="1:5" x14ac:dyDescent="0.25">
      <c r="A522" s="562" t="s">
        <v>711</v>
      </c>
      <c r="B522" s="563">
        <v>12.59</v>
      </c>
      <c r="C522" s="564">
        <v>7250.73</v>
      </c>
      <c r="D522" s="560">
        <f t="shared" si="16"/>
        <v>-3.256552819698174E-2</v>
      </c>
      <c r="E522" s="560">
        <f t="shared" si="17"/>
        <v>-1.4150299349168905E-2</v>
      </c>
    </row>
    <row r="523" spans="1:5" x14ac:dyDescent="0.25">
      <c r="A523" s="562" t="s">
        <v>712</v>
      </c>
      <c r="B523" s="563">
        <v>12.93</v>
      </c>
      <c r="C523" s="564">
        <v>7443.46</v>
      </c>
      <c r="D523" s="560">
        <f t="shared" si="16"/>
        <v>-2.6295436968290786E-2</v>
      </c>
      <c r="E523" s="560">
        <f t="shared" si="17"/>
        <v>-2.5892528474661041E-2</v>
      </c>
    </row>
    <row r="524" spans="1:5" x14ac:dyDescent="0.25">
      <c r="A524" s="562" t="s">
        <v>713</v>
      </c>
      <c r="B524" s="563">
        <v>13.09</v>
      </c>
      <c r="C524" s="564">
        <v>7528.39</v>
      </c>
      <c r="D524" s="560">
        <f t="shared" si="16"/>
        <v>-1.2223071046600469E-2</v>
      </c>
      <c r="E524" s="560">
        <f t="shared" si="17"/>
        <v>-1.1281296532193508E-2</v>
      </c>
    </row>
    <row r="525" spans="1:5" x14ac:dyDescent="0.25">
      <c r="A525" s="562" t="s">
        <v>714</v>
      </c>
      <c r="B525" s="563">
        <v>13.1</v>
      </c>
      <c r="C525" s="564">
        <v>7464</v>
      </c>
      <c r="D525" s="560">
        <f t="shared" si="16"/>
        <v>-7.6335877862593793E-4</v>
      </c>
      <c r="E525" s="560">
        <f t="shared" si="17"/>
        <v>8.6267416934619947E-3</v>
      </c>
    </row>
    <row r="526" spans="1:5" x14ac:dyDescent="0.25">
      <c r="A526" s="562" t="s">
        <v>715</v>
      </c>
      <c r="B526" s="563">
        <v>13.23</v>
      </c>
      <c r="C526" s="564">
        <v>7450.3</v>
      </c>
      <c r="D526" s="560">
        <f t="shared" si="16"/>
        <v>-9.8261526832955984E-3</v>
      </c>
      <c r="E526" s="560">
        <f t="shared" si="17"/>
        <v>1.8388521267599719E-3</v>
      </c>
    </row>
    <row r="527" spans="1:5" x14ac:dyDescent="0.25">
      <c r="A527" s="562" t="s">
        <v>716</v>
      </c>
      <c r="B527" s="563">
        <v>12.59</v>
      </c>
      <c r="C527" s="564">
        <v>7245.82</v>
      </c>
      <c r="D527" s="560">
        <f t="shared" si="16"/>
        <v>5.0833995234312992E-2</v>
      </c>
      <c r="E527" s="560">
        <f t="shared" si="17"/>
        <v>2.8220408456185838E-2</v>
      </c>
    </row>
    <row r="528" spans="1:5" x14ac:dyDescent="0.25">
      <c r="A528" s="562" t="s">
        <v>717</v>
      </c>
      <c r="B528" s="563">
        <v>12.33</v>
      </c>
      <c r="C528" s="564">
        <v>7149.67</v>
      </c>
      <c r="D528" s="560">
        <f t="shared" si="16"/>
        <v>2.1086780210867784E-2</v>
      </c>
      <c r="E528" s="560">
        <f t="shared" si="17"/>
        <v>1.3448173132466202E-2</v>
      </c>
    </row>
    <row r="529" spans="1:5" x14ac:dyDescent="0.25">
      <c r="A529" s="562" t="s">
        <v>718</v>
      </c>
      <c r="B529" s="563">
        <v>12.43</v>
      </c>
      <c r="C529" s="564">
        <v>7273.13</v>
      </c>
      <c r="D529" s="560">
        <f t="shared" si="16"/>
        <v>-8.0450522928398743E-3</v>
      </c>
      <c r="E529" s="560">
        <f t="shared" si="17"/>
        <v>-1.6974810019895151E-2</v>
      </c>
    </row>
    <row r="530" spans="1:5" x14ac:dyDescent="0.25">
      <c r="A530" s="562" t="s">
        <v>719</v>
      </c>
      <c r="B530" s="563">
        <v>12.23</v>
      </c>
      <c r="C530" s="564">
        <v>7209.59</v>
      </c>
      <c r="D530" s="560">
        <f t="shared" si="16"/>
        <v>1.6353229762878108E-2</v>
      </c>
      <c r="E530" s="560">
        <f t="shared" si="17"/>
        <v>8.8132612256730213E-3</v>
      </c>
    </row>
    <row r="531" spans="1:5" x14ac:dyDescent="0.25">
      <c r="A531" s="562" t="s">
        <v>720</v>
      </c>
      <c r="B531" s="563">
        <v>12.34</v>
      </c>
      <c r="C531" s="564">
        <v>6980.62</v>
      </c>
      <c r="D531" s="560">
        <f t="shared" si="16"/>
        <v>-8.9141004862236164E-3</v>
      </c>
      <c r="E531" s="560">
        <f t="shared" si="17"/>
        <v>3.2800811389246266E-2</v>
      </c>
    </row>
    <row r="532" spans="1:5" x14ac:dyDescent="0.25">
      <c r="A532" s="562" t="s">
        <v>721</v>
      </c>
      <c r="B532" s="563">
        <v>12.17</v>
      </c>
      <c r="C532" s="564">
        <v>6970.1</v>
      </c>
      <c r="D532" s="560">
        <f t="shared" si="16"/>
        <v>1.396877567789646E-2</v>
      </c>
      <c r="E532" s="560">
        <f t="shared" si="17"/>
        <v>1.5093040272018373E-3</v>
      </c>
    </row>
    <row r="533" spans="1:5" x14ac:dyDescent="0.25">
      <c r="A533" s="562" t="s">
        <v>722</v>
      </c>
      <c r="B533" s="563">
        <v>12.48</v>
      </c>
      <c r="C533" s="564">
        <v>7079.41</v>
      </c>
      <c r="D533" s="560">
        <f t="shared" si="16"/>
        <v>-2.483974358974363E-2</v>
      </c>
      <c r="E533" s="560">
        <f t="shared" si="17"/>
        <v>-1.5440552249410542E-2</v>
      </c>
    </row>
    <row r="534" spans="1:5" x14ac:dyDescent="0.25">
      <c r="A534" s="562" t="s">
        <v>723</v>
      </c>
      <c r="B534" s="563">
        <v>12.69</v>
      </c>
      <c r="C534" s="564">
        <v>7418.94</v>
      </c>
      <c r="D534" s="560">
        <f t="shared" si="16"/>
        <v>-1.6548463356973922E-2</v>
      </c>
      <c r="E534" s="560">
        <f t="shared" si="17"/>
        <v>-4.576529800753204E-2</v>
      </c>
    </row>
    <row r="535" spans="1:5" x14ac:dyDescent="0.25">
      <c r="A535" s="562" t="s">
        <v>724</v>
      </c>
      <c r="B535" s="563">
        <v>12.67</v>
      </c>
      <c r="C535" s="564">
        <v>7394.49</v>
      </c>
      <c r="D535" s="560">
        <f t="shared" si="16"/>
        <v>1.5785319652722631E-3</v>
      </c>
      <c r="E535" s="560">
        <f t="shared" si="17"/>
        <v>3.3065160680452363E-3</v>
      </c>
    </row>
    <row r="536" spans="1:5" x14ac:dyDescent="0.25">
      <c r="A536" s="562" t="s">
        <v>725</v>
      </c>
      <c r="B536" s="563">
        <v>12.64</v>
      </c>
      <c r="C536" s="564">
        <v>7482.71</v>
      </c>
      <c r="D536" s="560">
        <f t="shared" si="16"/>
        <v>2.3734177215189367E-3</v>
      </c>
      <c r="E536" s="560">
        <f t="shared" si="17"/>
        <v>-1.1789846192088194E-2</v>
      </c>
    </row>
    <row r="537" spans="1:5" x14ac:dyDescent="0.25">
      <c r="A537" s="562" t="s">
        <v>726</v>
      </c>
      <c r="B537" s="563">
        <v>12.14</v>
      </c>
      <c r="C537" s="564">
        <v>7303.88</v>
      </c>
      <c r="D537" s="560">
        <f t="shared" si="16"/>
        <v>4.118616144975288E-2</v>
      </c>
      <c r="E537" s="560">
        <f t="shared" si="17"/>
        <v>2.4484246729135736E-2</v>
      </c>
    </row>
    <row r="538" spans="1:5" x14ac:dyDescent="0.25">
      <c r="A538" s="562" t="s">
        <v>727</v>
      </c>
      <c r="B538" s="563">
        <v>12.01</v>
      </c>
      <c r="C538" s="564">
        <v>7257.58</v>
      </c>
      <c r="D538" s="560">
        <f t="shared" si="16"/>
        <v>1.0824313072439699E-2</v>
      </c>
      <c r="E538" s="560">
        <f t="shared" si="17"/>
        <v>6.3795369806464667E-3</v>
      </c>
    </row>
    <row r="539" spans="1:5" x14ac:dyDescent="0.25">
      <c r="A539" s="562" t="s">
        <v>728</v>
      </c>
      <c r="B539" s="563">
        <v>11.86</v>
      </c>
      <c r="C539" s="564">
        <v>7101.24</v>
      </c>
      <c r="D539" s="560">
        <f t="shared" si="16"/>
        <v>1.2647554806070858E-2</v>
      </c>
      <c r="E539" s="560">
        <f t="shared" si="17"/>
        <v>2.2015873284102518E-2</v>
      </c>
    </row>
    <row r="540" spans="1:5" x14ac:dyDescent="0.25">
      <c r="A540" s="562" t="s">
        <v>729</v>
      </c>
      <c r="B540" s="563">
        <v>12.37</v>
      </c>
      <c r="C540" s="564">
        <v>7258.04</v>
      </c>
      <c r="D540" s="560">
        <f t="shared" si="16"/>
        <v>-4.1228779304769592E-2</v>
      </c>
      <c r="E540" s="560">
        <f t="shared" si="17"/>
        <v>-2.160362852781194E-2</v>
      </c>
    </row>
    <row r="541" spans="1:5" x14ac:dyDescent="0.25">
      <c r="A541" s="562" t="s">
        <v>730</v>
      </c>
      <c r="B541" s="563">
        <v>12.17</v>
      </c>
      <c r="C541" s="564">
        <v>6895.97</v>
      </c>
      <c r="D541" s="560">
        <f t="shared" si="16"/>
        <v>1.6433853738701668E-2</v>
      </c>
      <c r="E541" s="560">
        <f t="shared" si="17"/>
        <v>5.2504578761218466E-2</v>
      </c>
    </row>
    <row r="542" spans="1:5" x14ac:dyDescent="0.25">
      <c r="A542" s="562" t="s">
        <v>731</v>
      </c>
      <c r="B542" s="563">
        <v>12.64</v>
      </c>
      <c r="C542" s="564">
        <v>7419.07</v>
      </c>
      <c r="D542" s="560">
        <f t="shared" si="16"/>
        <v>-3.7183544303797514E-2</v>
      </c>
      <c r="E542" s="560">
        <f t="shared" si="17"/>
        <v>-7.0507489483183125E-2</v>
      </c>
    </row>
    <row r="543" spans="1:5" x14ac:dyDescent="0.25">
      <c r="A543" s="562" t="s">
        <v>732</v>
      </c>
      <c r="B543" s="563">
        <v>12.64</v>
      </c>
      <c r="C543" s="564">
        <v>7428.4</v>
      </c>
      <c r="D543" s="560">
        <f t="shared" si="16"/>
        <v>0</v>
      </c>
      <c r="E543" s="560">
        <f t="shared" si="17"/>
        <v>-1.2559905228582101E-3</v>
      </c>
    </row>
    <row r="544" spans="1:5" x14ac:dyDescent="0.25">
      <c r="A544" s="562" t="s">
        <v>733</v>
      </c>
      <c r="B544" s="563">
        <v>13.08</v>
      </c>
      <c r="C544" s="564">
        <v>7853.2</v>
      </c>
      <c r="D544" s="560">
        <f t="shared" si="16"/>
        <v>-3.3639143730886813E-2</v>
      </c>
      <c r="E544" s="560">
        <f t="shared" si="17"/>
        <v>-5.4092599195232544E-2</v>
      </c>
    </row>
    <row r="545" spans="1:5" x14ac:dyDescent="0.25">
      <c r="A545" s="562" t="s">
        <v>734</v>
      </c>
      <c r="B545" s="563">
        <v>13.16</v>
      </c>
      <c r="C545" s="564">
        <v>7831.98</v>
      </c>
      <c r="D545" s="560">
        <f t="shared" si="16"/>
        <v>-6.0790273556231055E-3</v>
      </c>
      <c r="E545" s="560">
        <f t="shared" si="17"/>
        <v>2.7094042630344123E-3</v>
      </c>
    </row>
    <row r="546" spans="1:5" x14ac:dyDescent="0.25">
      <c r="A546" s="562" t="s">
        <v>735</v>
      </c>
      <c r="B546" s="563">
        <v>13.51</v>
      </c>
      <c r="C546" s="564">
        <v>8040.93</v>
      </c>
      <c r="D546" s="560">
        <f t="shared" si="16"/>
        <v>-2.5906735751295311E-2</v>
      </c>
      <c r="E546" s="560">
        <f t="shared" si="17"/>
        <v>-2.5985800149982741E-2</v>
      </c>
    </row>
    <row r="547" spans="1:5" x14ac:dyDescent="0.25">
      <c r="A547" s="562" t="s">
        <v>736</v>
      </c>
      <c r="B547" s="563">
        <v>13.79</v>
      </c>
      <c r="C547" s="564">
        <v>8079.44</v>
      </c>
      <c r="D547" s="560">
        <f t="shared" si="16"/>
        <v>-2.0304568527918735E-2</v>
      </c>
      <c r="E547" s="560">
        <f t="shared" si="17"/>
        <v>-4.7664194548136148E-3</v>
      </c>
    </row>
    <row r="548" spans="1:5" x14ac:dyDescent="0.25">
      <c r="A548" s="562" t="s">
        <v>737</v>
      </c>
      <c r="B548" s="563">
        <v>13.79</v>
      </c>
      <c r="C548" s="564">
        <v>8124.03</v>
      </c>
      <c r="D548" s="560">
        <f t="shared" si="16"/>
        <v>0</v>
      </c>
      <c r="E548" s="560">
        <f t="shared" si="17"/>
        <v>-5.4886552609973308E-3</v>
      </c>
    </row>
    <row r="549" spans="1:5" x14ac:dyDescent="0.25">
      <c r="A549" s="562" t="s">
        <v>738</v>
      </c>
      <c r="B549" s="563">
        <v>14.05</v>
      </c>
      <c r="C549" s="564">
        <v>8153.21</v>
      </c>
      <c r="D549" s="560">
        <f t="shared" si="16"/>
        <v>-1.8505338078291925E-2</v>
      </c>
      <c r="E549" s="560">
        <f t="shared" si="17"/>
        <v>-3.5789584715713555E-3</v>
      </c>
    </row>
    <row r="550" spans="1:5" x14ac:dyDescent="0.25">
      <c r="A550" s="562" t="s">
        <v>739</v>
      </c>
      <c r="B550" s="563">
        <v>14.52</v>
      </c>
      <c r="C550" s="564">
        <v>8331.67</v>
      </c>
      <c r="D550" s="560">
        <f t="shared" si="16"/>
        <v>-3.2369146005509566E-2</v>
      </c>
      <c r="E550" s="560">
        <f t="shared" si="17"/>
        <v>-2.1419475327275329E-2</v>
      </c>
    </row>
    <row r="551" spans="1:5" x14ac:dyDescent="0.25">
      <c r="A551" s="562" t="s">
        <v>740</v>
      </c>
      <c r="B551" s="563">
        <v>14.58</v>
      </c>
      <c r="C551" s="564">
        <v>8357.57</v>
      </c>
      <c r="D551" s="560">
        <f t="shared" si="16"/>
        <v>-4.1152263374485938E-3</v>
      </c>
      <c r="E551" s="560">
        <f t="shared" si="17"/>
        <v>-3.0989869064811468E-3</v>
      </c>
    </row>
    <row r="552" spans="1:5" x14ac:dyDescent="0.25">
      <c r="A552" s="562" t="s">
        <v>741</v>
      </c>
      <c r="B552" s="563">
        <v>14.58</v>
      </c>
      <c r="C552" s="564">
        <v>8408.2000000000007</v>
      </c>
      <c r="D552" s="560">
        <f t="shared" si="16"/>
        <v>0</v>
      </c>
      <c r="E552" s="560">
        <f t="shared" si="17"/>
        <v>-6.0215028186771267E-3</v>
      </c>
    </row>
    <row r="553" spans="1:5" x14ac:dyDescent="0.25">
      <c r="A553" s="562" t="s">
        <v>742</v>
      </c>
      <c r="B553" s="563">
        <v>14.59</v>
      </c>
      <c r="C553" s="564">
        <v>8411.4500000000007</v>
      </c>
      <c r="D553" s="560">
        <f t="shared" si="16"/>
        <v>-6.854009595613288E-4</v>
      </c>
      <c r="E553" s="560">
        <f t="shared" si="17"/>
        <v>-3.8637809176776889E-4</v>
      </c>
    </row>
    <row r="554" spans="1:5" x14ac:dyDescent="0.25">
      <c r="A554" s="562" t="s">
        <v>743</v>
      </c>
      <c r="B554" s="563">
        <v>14.48</v>
      </c>
      <c r="C554" s="564">
        <v>8281.83</v>
      </c>
      <c r="D554" s="560">
        <f t="shared" si="16"/>
        <v>7.5966850828728888E-3</v>
      </c>
      <c r="E554" s="560">
        <f t="shared" si="17"/>
        <v>1.5651130245368572E-2</v>
      </c>
    </row>
    <row r="555" spans="1:5" x14ac:dyDescent="0.25">
      <c r="A555" s="562" t="s">
        <v>744</v>
      </c>
      <c r="B555" s="563">
        <v>14.4</v>
      </c>
      <c r="C555" s="564">
        <v>8254.3799999999992</v>
      </c>
      <c r="D555" s="560">
        <f t="shared" si="16"/>
        <v>5.5555555555555601E-3</v>
      </c>
      <c r="E555" s="560">
        <f t="shared" si="17"/>
        <v>3.3255071852762693E-3</v>
      </c>
    </row>
    <row r="556" spans="1:5" x14ac:dyDescent="0.25">
      <c r="A556" s="562" t="s">
        <v>745</v>
      </c>
      <c r="B556" s="563">
        <v>13.65</v>
      </c>
      <c r="C556" s="564">
        <v>8135.53</v>
      </c>
      <c r="D556" s="560">
        <f t="shared" si="16"/>
        <v>5.4945054945054944E-2</v>
      </c>
      <c r="E556" s="560">
        <f t="shared" si="17"/>
        <v>1.4608759355567425E-2</v>
      </c>
    </row>
    <row r="557" spans="1:5" x14ac:dyDescent="0.25">
      <c r="A557" s="562" t="s">
        <v>746</v>
      </c>
      <c r="B557" s="563">
        <v>13.67</v>
      </c>
      <c r="C557" s="564">
        <v>8227.0400000000009</v>
      </c>
      <c r="D557" s="560">
        <f t="shared" si="16"/>
        <v>-1.4630577907827048E-3</v>
      </c>
      <c r="E557" s="560">
        <f t="shared" si="17"/>
        <v>-1.112307707267755E-2</v>
      </c>
    </row>
    <row r="558" spans="1:5" x14ac:dyDescent="0.25">
      <c r="A558" s="562" t="s">
        <v>747</v>
      </c>
      <c r="B558" s="563">
        <v>13.68</v>
      </c>
      <c r="C558" s="564">
        <v>8191.13</v>
      </c>
      <c r="D558" s="560">
        <f t="shared" si="16"/>
        <v>-7.3099415204676808E-4</v>
      </c>
      <c r="E558" s="560">
        <f t="shared" si="17"/>
        <v>4.3840105089286534E-3</v>
      </c>
    </row>
    <row r="559" spans="1:5" x14ac:dyDescent="0.25">
      <c r="A559" s="562" t="s">
        <v>748</v>
      </c>
      <c r="B559" s="563">
        <v>13.88</v>
      </c>
      <c r="C559" s="564">
        <v>8246.7999999999993</v>
      </c>
      <c r="D559" s="560">
        <f t="shared" si="16"/>
        <v>-1.4409221902017367E-2</v>
      </c>
      <c r="E559" s="560">
        <f t="shared" si="17"/>
        <v>-6.750497162535671E-3</v>
      </c>
    </row>
    <row r="560" spans="1:5" x14ac:dyDescent="0.25">
      <c r="A560" s="562" t="s">
        <v>749</v>
      </c>
      <c r="B560" s="563">
        <v>13.76</v>
      </c>
      <c r="C560" s="564">
        <v>8192.75</v>
      </c>
      <c r="D560" s="560">
        <f t="shared" si="16"/>
        <v>8.7209302325582123E-3</v>
      </c>
      <c r="E560" s="560">
        <f t="shared" si="17"/>
        <v>6.597296390100915E-3</v>
      </c>
    </row>
    <row r="561" spans="1:5" x14ac:dyDescent="0.25">
      <c r="A561" s="562" t="s">
        <v>750</v>
      </c>
      <c r="B561" s="563">
        <v>13.88</v>
      </c>
      <c r="C561" s="564">
        <v>8228.73</v>
      </c>
      <c r="D561" s="560">
        <f t="shared" si="16"/>
        <v>-8.6455331412104465E-3</v>
      </c>
      <c r="E561" s="560">
        <f t="shared" si="17"/>
        <v>-4.3724851830111771E-3</v>
      </c>
    </row>
    <row r="562" spans="1:5" x14ac:dyDescent="0.25">
      <c r="A562" s="562" t="s">
        <v>751</v>
      </c>
      <c r="B562" s="563">
        <v>14.05</v>
      </c>
      <c r="C562" s="564">
        <v>8410.19</v>
      </c>
      <c r="D562" s="560">
        <f t="shared" si="16"/>
        <v>-1.2099644128113873E-2</v>
      </c>
      <c r="E562" s="560">
        <f t="shared" si="17"/>
        <v>-2.1576206958463594E-2</v>
      </c>
    </row>
    <row r="563" spans="1:5" x14ac:dyDescent="0.25">
      <c r="A563" s="562" t="s">
        <v>752</v>
      </c>
      <c r="B563" s="563">
        <v>14.02</v>
      </c>
      <c r="C563" s="564">
        <v>8476.1299999999992</v>
      </c>
      <c r="D563" s="560">
        <f t="shared" si="16"/>
        <v>2.1398002853067859E-3</v>
      </c>
      <c r="E563" s="560">
        <f t="shared" si="17"/>
        <v>-7.7794937076234904E-3</v>
      </c>
    </row>
    <row r="564" spans="1:5" x14ac:dyDescent="0.25">
      <c r="A564" s="562" t="s">
        <v>753</v>
      </c>
      <c r="B564" s="563">
        <v>14.09</v>
      </c>
      <c r="C564" s="564">
        <v>8396.48</v>
      </c>
      <c r="D564" s="560">
        <f t="shared" si="16"/>
        <v>-4.9680624556423195E-3</v>
      </c>
      <c r="E564" s="560">
        <f t="shared" si="17"/>
        <v>9.4861179923014932E-3</v>
      </c>
    </row>
    <row r="565" spans="1:5" x14ac:dyDescent="0.25">
      <c r="A565" s="562" t="s">
        <v>754</v>
      </c>
      <c r="B565" s="563">
        <v>14.1</v>
      </c>
      <c r="C565" s="564">
        <v>8404.6299999999992</v>
      </c>
      <c r="D565" s="560">
        <f t="shared" si="16"/>
        <v>-7.0921985815601324E-4</v>
      </c>
      <c r="E565" s="560">
        <f t="shared" si="17"/>
        <v>-9.6970360384688399E-4</v>
      </c>
    </row>
    <row r="566" spans="1:5" x14ac:dyDescent="0.25">
      <c r="A566" s="562" t="s">
        <v>755</v>
      </c>
      <c r="B566" s="563">
        <v>14.2</v>
      </c>
      <c r="C566" s="564">
        <v>8425.48</v>
      </c>
      <c r="D566" s="560">
        <f t="shared" si="16"/>
        <v>-7.0422535211267356E-3</v>
      </c>
      <c r="E566" s="560">
        <f t="shared" si="17"/>
        <v>-2.4746364598812608E-3</v>
      </c>
    </row>
    <row r="567" spans="1:5" x14ac:dyDescent="0.25">
      <c r="A567" s="562" t="s">
        <v>756</v>
      </c>
      <c r="B567" s="563">
        <v>13.98</v>
      </c>
      <c r="C567" s="564">
        <v>8319.1</v>
      </c>
      <c r="D567" s="560">
        <f t="shared" ref="D567:D630" si="18">(B566-B567)/B567</f>
        <v>1.57367668097281E-2</v>
      </c>
      <c r="E567" s="560">
        <f t="shared" ref="E567:E630" si="19">(C566-C567)/C567</f>
        <v>1.2787440949141035E-2</v>
      </c>
    </row>
    <row r="568" spans="1:5" x14ac:dyDescent="0.25">
      <c r="A568" s="562" t="s">
        <v>757</v>
      </c>
      <c r="B568" s="563">
        <v>13.77</v>
      </c>
      <c r="C568" s="564">
        <v>8228.5</v>
      </c>
      <c r="D568" s="560">
        <f t="shared" si="18"/>
        <v>1.5250544662309431E-2</v>
      </c>
      <c r="E568" s="560">
        <f t="shared" si="19"/>
        <v>1.101051224402994E-2</v>
      </c>
    </row>
    <row r="569" spans="1:5" x14ac:dyDescent="0.25">
      <c r="A569" s="562" t="s">
        <v>758</v>
      </c>
      <c r="B569" s="563">
        <v>13.51</v>
      </c>
      <c r="C569" s="564">
        <v>8135.98</v>
      </c>
      <c r="D569" s="560">
        <f t="shared" si="18"/>
        <v>1.9245003700962236E-2</v>
      </c>
      <c r="E569" s="560">
        <f t="shared" si="19"/>
        <v>1.1371709369983756E-2</v>
      </c>
    </row>
    <row r="570" spans="1:5" x14ac:dyDescent="0.25">
      <c r="A570" s="562" t="s">
        <v>759</v>
      </c>
      <c r="B570" s="563">
        <v>13.49</v>
      </c>
      <c r="C570" s="564">
        <v>8031.08</v>
      </c>
      <c r="D570" s="560">
        <f t="shared" si="18"/>
        <v>1.4825796886582337E-3</v>
      </c>
      <c r="E570" s="560">
        <f t="shared" si="19"/>
        <v>1.3061755081508294E-2</v>
      </c>
    </row>
    <row r="571" spans="1:5" x14ac:dyDescent="0.25">
      <c r="A571" s="562" t="s">
        <v>760</v>
      </c>
      <c r="B571" s="563">
        <v>13.61</v>
      </c>
      <c r="C571" s="564">
        <v>7974.72</v>
      </c>
      <c r="D571" s="560">
        <f t="shared" si="18"/>
        <v>-8.8170462894929628E-3</v>
      </c>
      <c r="E571" s="560">
        <f t="shared" si="19"/>
        <v>7.0673327715580821E-3</v>
      </c>
    </row>
    <row r="572" spans="1:5" x14ac:dyDescent="0.25">
      <c r="A572" s="562" t="s">
        <v>761</v>
      </c>
      <c r="B572" s="563">
        <v>13.66</v>
      </c>
      <c r="C572" s="564">
        <v>8054.08</v>
      </c>
      <c r="D572" s="560">
        <f t="shared" si="18"/>
        <v>-3.6603221083455866E-3</v>
      </c>
      <c r="E572" s="560">
        <f t="shared" si="19"/>
        <v>-9.8533910763240092E-3</v>
      </c>
    </row>
    <row r="573" spans="1:5" x14ac:dyDescent="0.25">
      <c r="A573" s="562" t="s">
        <v>762</v>
      </c>
      <c r="B573" s="563">
        <v>13.55</v>
      </c>
      <c r="C573" s="564">
        <v>8101.84</v>
      </c>
      <c r="D573" s="560">
        <f t="shared" si="18"/>
        <v>8.1180811808117658E-3</v>
      </c>
      <c r="E573" s="560">
        <f t="shared" si="19"/>
        <v>-5.8949571949088375E-3</v>
      </c>
    </row>
    <row r="574" spans="1:5" x14ac:dyDescent="0.25">
      <c r="A574" s="562" t="s">
        <v>763</v>
      </c>
      <c r="B574" s="563">
        <v>13.55</v>
      </c>
      <c r="C574" s="564">
        <v>8156.27</v>
      </c>
      <c r="D574" s="560">
        <f t="shared" si="18"/>
        <v>0</v>
      </c>
      <c r="E574" s="560">
        <f t="shared" si="19"/>
        <v>-6.6733935978088377E-3</v>
      </c>
    </row>
    <row r="575" spans="1:5" x14ac:dyDescent="0.25">
      <c r="A575" s="562" t="s">
        <v>764</v>
      </c>
      <c r="B575" s="563">
        <v>13.48</v>
      </c>
      <c r="C575" s="564">
        <v>8032.22</v>
      </c>
      <c r="D575" s="560">
        <f t="shared" si="18"/>
        <v>5.1928783382789523E-3</v>
      </c>
      <c r="E575" s="560">
        <f t="shared" si="19"/>
        <v>1.5444049092280861E-2</v>
      </c>
    </row>
    <row r="576" spans="1:5" x14ac:dyDescent="0.25">
      <c r="A576" s="562" t="s">
        <v>765</v>
      </c>
      <c r="B576" s="563">
        <v>13.45</v>
      </c>
      <c r="C576" s="564">
        <v>8000.11</v>
      </c>
      <c r="D576" s="560">
        <f t="shared" si="18"/>
        <v>2.2304832713755493E-3</v>
      </c>
      <c r="E576" s="560">
        <f t="shared" si="19"/>
        <v>4.0136948116964123E-3</v>
      </c>
    </row>
    <row r="577" spans="1:5" x14ac:dyDescent="0.25">
      <c r="A577" s="562" t="s">
        <v>766</v>
      </c>
      <c r="B577" s="563">
        <v>13.52</v>
      </c>
      <c r="C577" s="564">
        <v>7963.6</v>
      </c>
      <c r="D577" s="560">
        <f t="shared" si="18"/>
        <v>-5.1775147928994295E-3</v>
      </c>
      <c r="E577" s="560">
        <f t="shared" si="19"/>
        <v>4.5846099753879283E-3</v>
      </c>
    </row>
    <row r="578" spans="1:5" x14ac:dyDescent="0.25">
      <c r="A578" s="562" t="s">
        <v>767</v>
      </c>
      <c r="B578" s="563">
        <v>13.53</v>
      </c>
      <c r="C578" s="564">
        <v>7967.81</v>
      </c>
      <c r="D578" s="560">
        <f t="shared" si="18"/>
        <v>-7.3909830007389411E-4</v>
      </c>
      <c r="E578" s="560">
        <f t="shared" si="19"/>
        <v>-5.2837605314384208E-4</v>
      </c>
    </row>
    <row r="579" spans="1:5" x14ac:dyDescent="0.25">
      <c r="A579" s="562" t="s">
        <v>768</v>
      </c>
      <c r="B579" s="563">
        <v>13.57</v>
      </c>
      <c r="C579" s="564">
        <v>8132.77</v>
      </c>
      <c r="D579" s="560">
        <f t="shared" si="18"/>
        <v>-2.9476787030214388E-3</v>
      </c>
      <c r="E579" s="560">
        <f t="shared" si="19"/>
        <v>-2.0283372086017437E-2</v>
      </c>
    </row>
    <row r="580" spans="1:5" x14ac:dyDescent="0.25">
      <c r="A580" s="562" t="s">
        <v>769</v>
      </c>
      <c r="B580" s="563">
        <v>13.53</v>
      </c>
      <c r="C580" s="564">
        <v>8017.06</v>
      </c>
      <c r="D580" s="560">
        <f t="shared" si="18"/>
        <v>2.9563932002957078E-3</v>
      </c>
      <c r="E580" s="560">
        <f t="shared" si="19"/>
        <v>1.443297168787561E-2</v>
      </c>
    </row>
    <row r="581" spans="1:5" x14ac:dyDescent="0.25">
      <c r="A581" s="562" t="s">
        <v>770</v>
      </c>
      <c r="B581" s="563">
        <v>13.58</v>
      </c>
      <c r="C581" s="564">
        <v>8016.39</v>
      </c>
      <c r="D581" s="560">
        <f t="shared" si="18"/>
        <v>-3.6818851251841467E-3</v>
      </c>
      <c r="E581" s="560">
        <f t="shared" si="19"/>
        <v>8.3578767999071001E-5</v>
      </c>
    </row>
    <row r="582" spans="1:5" x14ac:dyDescent="0.25">
      <c r="A582" s="562" t="s">
        <v>771</v>
      </c>
      <c r="B582" s="563">
        <v>13.96</v>
      </c>
      <c r="C582" s="564">
        <v>8149.65</v>
      </c>
      <c r="D582" s="560">
        <f t="shared" si="18"/>
        <v>-2.722063037249289E-2</v>
      </c>
      <c r="E582" s="560">
        <f t="shared" si="19"/>
        <v>-1.6351622462314249E-2</v>
      </c>
    </row>
    <row r="583" spans="1:5" x14ac:dyDescent="0.25">
      <c r="A583" s="562" t="s">
        <v>772</v>
      </c>
      <c r="B583" s="563">
        <v>13.98</v>
      </c>
      <c r="C583" s="564">
        <v>8081.35</v>
      </c>
      <c r="D583" s="560">
        <f t="shared" si="18"/>
        <v>-1.4306151645207133E-3</v>
      </c>
      <c r="E583" s="560">
        <f t="shared" si="19"/>
        <v>8.4515582173769564E-3</v>
      </c>
    </row>
    <row r="584" spans="1:5" x14ac:dyDescent="0.25">
      <c r="A584" s="562" t="s">
        <v>773</v>
      </c>
      <c r="B584" s="563">
        <v>14.05</v>
      </c>
      <c r="C584" s="564">
        <v>8131.69</v>
      </c>
      <c r="D584" s="560">
        <f t="shared" si="18"/>
        <v>-4.98220640569397E-3</v>
      </c>
      <c r="E584" s="560">
        <f t="shared" si="19"/>
        <v>-6.1905950669540084E-3</v>
      </c>
    </row>
    <row r="585" spans="1:5" x14ac:dyDescent="0.25">
      <c r="A585" s="562" t="s">
        <v>774</v>
      </c>
      <c r="B585" s="563">
        <v>13.84</v>
      </c>
      <c r="C585" s="564">
        <v>8115.87</v>
      </c>
      <c r="D585" s="560">
        <f t="shared" si="18"/>
        <v>1.5173410404624339E-2</v>
      </c>
      <c r="E585" s="560">
        <f t="shared" si="19"/>
        <v>1.9492672997472493E-3</v>
      </c>
    </row>
    <row r="586" spans="1:5" x14ac:dyDescent="0.25">
      <c r="A586" s="562" t="s">
        <v>775</v>
      </c>
      <c r="B586" s="563">
        <v>14.12</v>
      </c>
      <c r="C586" s="564">
        <v>8222.15</v>
      </c>
      <c r="D586" s="560">
        <f t="shared" si="18"/>
        <v>-1.9830028328611853E-2</v>
      </c>
      <c r="E586" s="560">
        <f t="shared" si="19"/>
        <v>-1.2926059485657613E-2</v>
      </c>
    </row>
    <row r="587" spans="1:5" x14ac:dyDescent="0.25">
      <c r="A587" s="562" t="s">
        <v>776</v>
      </c>
      <c r="B587" s="563">
        <v>12.21</v>
      </c>
      <c r="C587" s="564">
        <v>8277.76</v>
      </c>
      <c r="D587" s="560">
        <f t="shared" si="18"/>
        <v>0.15642915642915628</v>
      </c>
      <c r="E587" s="560">
        <f t="shared" si="19"/>
        <v>-6.7180010051029002E-3</v>
      </c>
    </row>
    <row r="588" spans="1:5" x14ac:dyDescent="0.25">
      <c r="A588" s="562" t="s">
        <v>777</v>
      </c>
      <c r="B588" s="563">
        <v>14.14</v>
      </c>
      <c r="C588" s="564">
        <v>8281.59</v>
      </c>
      <c r="D588" s="560">
        <f t="shared" si="18"/>
        <v>-0.13649222065063646</v>
      </c>
      <c r="E588" s="560">
        <f t="shared" si="19"/>
        <v>-4.62471578525371E-4</v>
      </c>
    </row>
    <row r="589" spans="1:5" x14ac:dyDescent="0.25">
      <c r="A589" s="562" t="s">
        <v>778</v>
      </c>
      <c r="B589" s="563">
        <v>14.2</v>
      </c>
      <c r="C589" s="564">
        <v>8477.2800000000007</v>
      </c>
      <c r="D589" s="560">
        <f t="shared" si="18"/>
        <v>-4.2253521126759666E-3</v>
      </c>
      <c r="E589" s="560">
        <f t="shared" si="19"/>
        <v>-2.3084055263008947E-2</v>
      </c>
    </row>
    <row r="590" spans="1:5" x14ac:dyDescent="0.25">
      <c r="A590" s="562" t="s">
        <v>779</v>
      </c>
      <c r="B590" s="563">
        <v>14.02</v>
      </c>
      <c r="C590" s="564">
        <v>8386.34</v>
      </c>
      <c r="D590" s="560">
        <f t="shared" si="18"/>
        <v>1.2838801711840209E-2</v>
      </c>
      <c r="E590" s="560">
        <f t="shared" si="19"/>
        <v>1.0843824600481319E-2</v>
      </c>
    </row>
    <row r="591" spans="1:5" x14ac:dyDescent="0.25">
      <c r="A591" s="562" t="s">
        <v>780</v>
      </c>
      <c r="B591" s="563">
        <v>13.91</v>
      </c>
      <c r="C591" s="564">
        <v>8341.66</v>
      </c>
      <c r="D591" s="560">
        <f t="shared" si="18"/>
        <v>7.9079798705966528E-3</v>
      </c>
      <c r="E591" s="560">
        <f t="shared" si="19"/>
        <v>5.3562480369615034E-3</v>
      </c>
    </row>
    <row r="592" spans="1:5" x14ac:dyDescent="0.25">
      <c r="A592" s="562" t="s">
        <v>781</v>
      </c>
      <c r="B592" s="563">
        <v>14.02</v>
      </c>
      <c r="C592" s="564">
        <v>8295.3700000000008</v>
      </c>
      <c r="D592" s="560">
        <f t="shared" si="18"/>
        <v>-7.8459343794578772E-3</v>
      </c>
      <c r="E592" s="560">
        <f t="shared" si="19"/>
        <v>5.5802212559535082E-3</v>
      </c>
    </row>
    <row r="593" spans="1:5" x14ac:dyDescent="0.25">
      <c r="A593" s="562" t="s">
        <v>782</v>
      </c>
      <c r="B593" s="563">
        <v>13.99</v>
      </c>
      <c r="C593" s="564">
        <v>8252.4599999999991</v>
      </c>
      <c r="D593" s="560">
        <f t="shared" si="18"/>
        <v>2.1443888491779386E-3</v>
      </c>
      <c r="E593" s="560">
        <f t="shared" si="19"/>
        <v>5.1996616766396535E-3</v>
      </c>
    </row>
    <row r="594" spans="1:5" x14ac:dyDescent="0.25">
      <c r="A594" s="562" t="s">
        <v>783</v>
      </c>
      <c r="B594" s="563">
        <v>13.85</v>
      </c>
      <c r="C594" s="564">
        <v>8236.5499999999993</v>
      </c>
      <c r="D594" s="560">
        <f t="shared" si="18"/>
        <v>1.0108303249097514E-2</v>
      </c>
      <c r="E594" s="560">
        <f t="shared" si="19"/>
        <v>1.9316339972439741E-3</v>
      </c>
    </row>
    <row r="595" spans="1:5" x14ac:dyDescent="0.25">
      <c r="A595" s="562" t="s">
        <v>784</v>
      </c>
      <c r="B595" s="563">
        <v>14.17</v>
      </c>
      <c r="C595" s="564">
        <v>8357.5300000000007</v>
      </c>
      <c r="D595" s="560">
        <f t="shared" si="18"/>
        <v>-2.2582921665490491E-2</v>
      </c>
      <c r="E595" s="560">
        <f t="shared" si="19"/>
        <v>-1.4475568738610734E-2</v>
      </c>
    </row>
    <row r="596" spans="1:5" x14ac:dyDescent="0.25">
      <c r="A596" s="562" t="s">
        <v>785</v>
      </c>
      <c r="B596" s="563">
        <v>14.07</v>
      </c>
      <c r="C596" s="564">
        <v>8427.9500000000007</v>
      </c>
      <c r="D596" s="560">
        <f t="shared" si="18"/>
        <v>7.1073205401563358E-3</v>
      </c>
      <c r="E596" s="560">
        <f t="shared" si="19"/>
        <v>-8.3555312976465301E-3</v>
      </c>
    </row>
    <row r="597" spans="1:5" x14ac:dyDescent="0.25">
      <c r="A597" s="562" t="s">
        <v>786</v>
      </c>
      <c r="B597" s="563">
        <v>14</v>
      </c>
      <c r="C597" s="564">
        <v>8407.48</v>
      </c>
      <c r="D597" s="560">
        <f t="shared" si="18"/>
        <v>5.0000000000000201E-3</v>
      </c>
      <c r="E597" s="560">
        <f t="shared" si="19"/>
        <v>2.4347366868551772E-3</v>
      </c>
    </row>
    <row r="598" spans="1:5" x14ac:dyDescent="0.25">
      <c r="A598" s="562" t="s">
        <v>787</v>
      </c>
      <c r="B598" s="563">
        <v>13.99</v>
      </c>
      <c r="C598" s="564">
        <v>8333.07</v>
      </c>
      <c r="D598" s="560">
        <f t="shared" si="18"/>
        <v>7.1479628305931282E-4</v>
      </c>
      <c r="E598" s="560">
        <f t="shared" si="19"/>
        <v>8.9294821716366067E-3</v>
      </c>
    </row>
    <row r="599" spans="1:5" x14ac:dyDescent="0.25">
      <c r="A599" s="562" t="s">
        <v>788</v>
      </c>
      <c r="B599" s="563">
        <v>14.23</v>
      </c>
      <c r="C599" s="564">
        <v>8336.59</v>
      </c>
      <c r="D599" s="560">
        <f t="shared" si="18"/>
        <v>-1.6865776528461014E-2</v>
      </c>
      <c r="E599" s="560">
        <f t="shared" si="19"/>
        <v>-4.2223499056573931E-4</v>
      </c>
    </row>
    <row r="600" spans="1:5" x14ac:dyDescent="0.25">
      <c r="A600" s="562" t="s">
        <v>789</v>
      </c>
      <c r="B600" s="563">
        <v>14.23</v>
      </c>
      <c r="C600" s="564">
        <v>8371.67</v>
      </c>
      <c r="D600" s="560">
        <f t="shared" si="18"/>
        <v>0</v>
      </c>
      <c r="E600" s="560">
        <f t="shared" si="19"/>
        <v>-4.1903228388123189E-3</v>
      </c>
    </row>
    <row r="601" spans="1:5" x14ac:dyDescent="0.25">
      <c r="A601" s="562" t="s">
        <v>790</v>
      </c>
      <c r="B601" s="563">
        <v>14.35</v>
      </c>
      <c r="C601" s="564">
        <v>8456.18</v>
      </c>
      <c r="D601" s="560">
        <f t="shared" si="18"/>
        <v>-8.3623693379790403E-3</v>
      </c>
      <c r="E601" s="560">
        <f t="shared" si="19"/>
        <v>-9.9938743025810971E-3</v>
      </c>
    </row>
    <row r="602" spans="1:5" x14ac:dyDescent="0.25">
      <c r="A602" s="562" t="s">
        <v>791</v>
      </c>
      <c r="B602" s="563">
        <v>14.03</v>
      </c>
      <c r="C602" s="564">
        <v>8428.09</v>
      </c>
      <c r="D602" s="560">
        <f t="shared" si="18"/>
        <v>2.2808267997148989E-2</v>
      </c>
      <c r="E602" s="560">
        <f t="shared" si="19"/>
        <v>3.3329022352632858E-3</v>
      </c>
    </row>
    <row r="603" spans="1:5" x14ac:dyDescent="0.25">
      <c r="A603" s="562" t="s">
        <v>792</v>
      </c>
      <c r="B603" s="563">
        <v>14.01</v>
      </c>
      <c r="C603" s="564">
        <v>8550.49</v>
      </c>
      <c r="D603" s="560">
        <f t="shared" si="18"/>
        <v>1.4275517487508619E-3</v>
      </c>
      <c r="E603" s="560">
        <f t="shared" si="19"/>
        <v>-1.4314969083643117E-2</v>
      </c>
    </row>
    <row r="604" spans="1:5" x14ac:dyDescent="0.25">
      <c r="A604" s="562" t="s">
        <v>793</v>
      </c>
      <c r="B604" s="563">
        <v>13.89</v>
      </c>
      <c r="C604" s="564">
        <v>8478.19</v>
      </c>
      <c r="D604" s="560">
        <f t="shared" si="18"/>
        <v>8.63930885529152E-3</v>
      </c>
      <c r="E604" s="560">
        <f t="shared" si="19"/>
        <v>8.5277635910494184E-3</v>
      </c>
    </row>
    <row r="605" spans="1:5" x14ac:dyDescent="0.25">
      <c r="A605" s="562" t="s">
        <v>794</v>
      </c>
      <c r="B605" s="563">
        <v>13.97</v>
      </c>
      <c r="C605" s="564">
        <v>8425.9</v>
      </c>
      <c r="D605" s="560">
        <f t="shared" si="18"/>
        <v>-5.7265569076592748E-3</v>
      </c>
      <c r="E605" s="560">
        <f t="shared" si="19"/>
        <v>6.2058652488162537E-3</v>
      </c>
    </row>
    <row r="606" spans="1:5" x14ac:dyDescent="0.25">
      <c r="A606" s="562" t="s">
        <v>795</v>
      </c>
      <c r="B606" s="563">
        <v>13.98</v>
      </c>
      <c r="C606" s="564">
        <v>8397.4</v>
      </c>
      <c r="D606" s="560">
        <f t="shared" si="18"/>
        <v>-7.1530758226035667E-4</v>
      </c>
      <c r="E606" s="560">
        <f t="shared" si="19"/>
        <v>3.3939076380784532E-3</v>
      </c>
    </row>
    <row r="607" spans="1:5" x14ac:dyDescent="0.25">
      <c r="A607" s="562" t="s">
        <v>796</v>
      </c>
      <c r="B607" s="563">
        <v>14.07</v>
      </c>
      <c r="C607" s="564">
        <v>8506.61</v>
      </c>
      <c r="D607" s="560">
        <f t="shared" si="18"/>
        <v>-6.3965884861407144E-3</v>
      </c>
      <c r="E607" s="560">
        <f t="shared" si="19"/>
        <v>-1.2838251665469669E-2</v>
      </c>
    </row>
    <row r="608" spans="1:5" x14ac:dyDescent="0.25">
      <c r="A608" s="562" t="s">
        <v>797</v>
      </c>
      <c r="B608" s="563">
        <v>14.1</v>
      </c>
      <c r="C608" s="564">
        <v>8584.68</v>
      </c>
      <c r="D608" s="560">
        <f t="shared" si="18"/>
        <v>-2.1276595744680396E-3</v>
      </c>
      <c r="E608" s="560">
        <f t="shared" si="19"/>
        <v>-9.0941071769710356E-3</v>
      </c>
    </row>
    <row r="609" spans="1:5" x14ac:dyDescent="0.25">
      <c r="A609" s="562" t="s">
        <v>798</v>
      </c>
      <c r="B609" s="563">
        <v>14.2</v>
      </c>
      <c r="C609" s="564">
        <v>8649.61</v>
      </c>
      <c r="D609" s="560">
        <f t="shared" si="18"/>
        <v>-7.0422535211267356E-3</v>
      </c>
      <c r="E609" s="560">
        <f t="shared" si="19"/>
        <v>-7.5066968337301086E-3</v>
      </c>
    </row>
    <row r="610" spans="1:5" x14ac:dyDescent="0.25">
      <c r="A610" s="562" t="s">
        <v>799</v>
      </c>
      <c r="B610" s="563">
        <v>14.24</v>
      </c>
      <c r="C610" s="564">
        <v>8671.41</v>
      </c>
      <c r="D610" s="560">
        <f t="shared" si="18"/>
        <v>-2.8089887640450088E-3</v>
      </c>
      <c r="E610" s="560">
        <f t="shared" si="19"/>
        <v>-2.5140086790959339E-3</v>
      </c>
    </row>
    <row r="611" spans="1:5" x14ac:dyDescent="0.25">
      <c r="A611" s="562" t="s">
        <v>800</v>
      </c>
      <c r="B611" s="563">
        <v>14.23</v>
      </c>
      <c r="C611" s="564">
        <v>8639.73</v>
      </c>
      <c r="D611" s="560">
        <f t="shared" si="18"/>
        <v>7.0274068868585995E-4</v>
      </c>
      <c r="E611" s="560">
        <f t="shared" si="19"/>
        <v>3.6667812535808751E-3</v>
      </c>
    </row>
    <row r="612" spans="1:5" x14ac:dyDescent="0.25">
      <c r="A612" s="562" t="s">
        <v>801</v>
      </c>
      <c r="B612" s="563">
        <v>14.2</v>
      </c>
      <c r="C612" s="564">
        <v>8609.2800000000007</v>
      </c>
      <c r="D612" s="560">
        <f t="shared" si="18"/>
        <v>2.1126760563381082E-3</v>
      </c>
      <c r="E612" s="560">
        <f t="shared" si="19"/>
        <v>3.5368811329169114E-3</v>
      </c>
    </row>
    <row r="613" spans="1:5" x14ac:dyDescent="0.25">
      <c r="A613" s="562" t="s">
        <v>802</v>
      </c>
      <c r="B613" s="563">
        <v>14.23</v>
      </c>
      <c r="C613" s="564">
        <v>8554.99</v>
      </c>
      <c r="D613" s="560">
        <f t="shared" si="18"/>
        <v>-2.1082220660577048E-3</v>
      </c>
      <c r="E613" s="560">
        <f t="shared" si="19"/>
        <v>6.346003911167737E-3</v>
      </c>
    </row>
    <row r="614" spans="1:5" x14ac:dyDescent="0.25">
      <c r="A614" s="562" t="s">
        <v>803</v>
      </c>
      <c r="B614" s="563">
        <v>14.02</v>
      </c>
      <c r="C614" s="564">
        <v>8485.25</v>
      </c>
      <c r="D614" s="560">
        <f t="shared" si="18"/>
        <v>1.4978601997146995E-2</v>
      </c>
      <c r="E614" s="560">
        <f t="shared" si="19"/>
        <v>8.218968209540059E-3</v>
      </c>
    </row>
    <row r="615" spans="1:5" x14ac:dyDescent="0.25">
      <c r="A615" s="562" t="s">
        <v>804</v>
      </c>
      <c r="B615" s="563">
        <v>14.21</v>
      </c>
      <c r="C615" s="564">
        <v>8504.36</v>
      </c>
      <c r="D615" s="560">
        <f t="shared" si="18"/>
        <v>-1.3370865587614446E-2</v>
      </c>
      <c r="E615" s="560">
        <f t="shared" si="19"/>
        <v>-2.2470826728878575E-3</v>
      </c>
    </row>
    <row r="616" spans="1:5" x14ac:dyDescent="0.25">
      <c r="A616" s="562" t="s">
        <v>805</v>
      </c>
      <c r="B616" s="563">
        <v>13.91</v>
      </c>
      <c r="C616" s="564">
        <v>8457.65</v>
      </c>
      <c r="D616" s="560">
        <f t="shared" si="18"/>
        <v>2.1567217828900122E-2</v>
      </c>
      <c r="E616" s="560">
        <f t="shared" si="19"/>
        <v>5.5228107098308568E-3</v>
      </c>
    </row>
    <row r="617" spans="1:5" x14ac:dyDescent="0.25">
      <c r="A617" s="562" t="s">
        <v>806</v>
      </c>
      <c r="B617" s="563">
        <v>14.25</v>
      </c>
      <c r="C617" s="564">
        <v>8332.0300000000007</v>
      </c>
      <c r="D617" s="560">
        <f t="shared" si="18"/>
        <v>-2.3859649122807008E-2</v>
      </c>
      <c r="E617" s="560">
        <f t="shared" si="19"/>
        <v>1.5076758004951851E-2</v>
      </c>
    </row>
    <row r="618" spans="1:5" x14ac:dyDescent="0.25">
      <c r="A618" s="562" t="s">
        <v>807</v>
      </c>
      <c r="B618" s="563">
        <v>14.31</v>
      </c>
      <c r="C618" s="564">
        <v>8277.11</v>
      </c>
      <c r="D618" s="560">
        <f t="shared" si="18"/>
        <v>-4.1928721174004542E-3</v>
      </c>
      <c r="E618" s="560">
        <f t="shared" si="19"/>
        <v>6.6351661389059792E-3</v>
      </c>
    </row>
    <row r="619" spans="1:5" x14ac:dyDescent="0.25">
      <c r="A619" s="562" t="s">
        <v>808</v>
      </c>
      <c r="B619" s="563">
        <v>14.36</v>
      </c>
      <c r="C619" s="564">
        <v>8400.31</v>
      </c>
      <c r="D619" s="560">
        <f t="shared" si="18"/>
        <v>-3.481894150417753E-3</v>
      </c>
      <c r="E619" s="560">
        <f t="shared" si="19"/>
        <v>-1.4666125416799965E-2</v>
      </c>
    </row>
    <row r="620" spans="1:5" x14ac:dyDescent="0.25">
      <c r="A620" s="562" t="s">
        <v>809</v>
      </c>
      <c r="B620" s="563">
        <v>14.34</v>
      </c>
      <c r="C620" s="564">
        <v>8374.16</v>
      </c>
      <c r="D620" s="560">
        <f t="shared" si="18"/>
        <v>1.3947001394699842E-3</v>
      </c>
      <c r="E620" s="560">
        <f t="shared" si="19"/>
        <v>3.1227012619772774E-3</v>
      </c>
    </row>
    <row r="621" spans="1:5" x14ac:dyDescent="0.25">
      <c r="A621" s="562" t="s">
        <v>810</v>
      </c>
      <c r="B621" s="563">
        <v>14.23</v>
      </c>
      <c r="C621" s="564">
        <v>8367.31</v>
      </c>
      <c r="D621" s="560">
        <f t="shared" si="18"/>
        <v>7.7301475755445839E-3</v>
      </c>
      <c r="E621" s="560">
        <f t="shared" si="19"/>
        <v>8.1866215067929408E-4</v>
      </c>
    </row>
    <row r="622" spans="1:5" x14ac:dyDescent="0.25">
      <c r="A622" s="562" t="s">
        <v>811</v>
      </c>
      <c r="B622" s="563">
        <v>14.11</v>
      </c>
      <c r="C622" s="564">
        <v>8360.4599999999991</v>
      </c>
      <c r="D622" s="560">
        <f t="shared" si="18"/>
        <v>8.5046066619419557E-3</v>
      </c>
      <c r="E622" s="560">
        <f t="shared" si="19"/>
        <v>8.193329075194863E-4</v>
      </c>
    </row>
    <row r="623" spans="1:5" x14ac:dyDescent="0.25">
      <c r="A623" s="562" t="s">
        <v>812</v>
      </c>
      <c r="B623" s="563">
        <v>14.27</v>
      </c>
      <c r="C623" s="564">
        <v>8445.77</v>
      </c>
      <c r="D623" s="560">
        <f t="shared" si="18"/>
        <v>-1.1212333566923626E-2</v>
      </c>
      <c r="E623" s="560">
        <f t="shared" si="19"/>
        <v>-1.0100914422249399E-2</v>
      </c>
    </row>
    <row r="624" spans="1:5" x14ac:dyDescent="0.25">
      <c r="A624" s="562" t="s">
        <v>813</v>
      </c>
      <c r="B624" s="563">
        <v>14.41</v>
      </c>
      <c r="C624" s="564">
        <v>8483.94</v>
      </c>
      <c r="D624" s="560">
        <f t="shared" si="18"/>
        <v>-9.7154753643303657E-3</v>
      </c>
      <c r="E624" s="560">
        <f t="shared" si="19"/>
        <v>-4.4990888667293819E-3</v>
      </c>
    </row>
    <row r="625" spans="1:5" x14ac:dyDescent="0.25">
      <c r="A625" s="562" t="s">
        <v>814</v>
      </c>
      <c r="B625" s="563">
        <v>14.68</v>
      </c>
      <c r="C625" s="564">
        <v>8489.33</v>
      </c>
      <c r="D625" s="560">
        <f t="shared" si="18"/>
        <v>-1.8392370572207054E-2</v>
      </c>
      <c r="E625" s="560">
        <f t="shared" si="19"/>
        <v>-6.3491465168622472E-4</v>
      </c>
    </row>
    <row r="626" spans="1:5" x14ac:dyDescent="0.25">
      <c r="A626" s="562" t="s">
        <v>815</v>
      </c>
      <c r="B626" s="563">
        <v>14.62</v>
      </c>
      <c r="C626" s="564">
        <v>8508.23</v>
      </c>
      <c r="D626" s="560">
        <f t="shared" si="18"/>
        <v>4.1039671682626885E-3</v>
      </c>
      <c r="E626" s="560">
        <f t="shared" si="19"/>
        <v>-2.2213785946077667E-3</v>
      </c>
    </row>
    <row r="627" spans="1:5" x14ac:dyDescent="0.25">
      <c r="A627" s="562" t="s">
        <v>816</v>
      </c>
      <c r="B627" s="563">
        <v>14.72</v>
      </c>
      <c r="C627" s="564">
        <v>8488.39</v>
      </c>
      <c r="D627" s="560">
        <f t="shared" si="18"/>
        <v>-6.7934782608696613E-3</v>
      </c>
      <c r="E627" s="560">
        <f t="shared" si="19"/>
        <v>2.3373101377293158E-3</v>
      </c>
    </row>
    <row r="628" spans="1:5" x14ac:dyDescent="0.25">
      <c r="A628" s="562" t="s">
        <v>817</v>
      </c>
      <c r="B628" s="563">
        <v>14.39</v>
      </c>
      <c r="C628" s="564">
        <v>8482.41</v>
      </c>
      <c r="D628" s="560">
        <f t="shared" si="18"/>
        <v>2.2932592077831833E-2</v>
      </c>
      <c r="E628" s="560">
        <f t="shared" si="19"/>
        <v>7.0498832289403175E-4</v>
      </c>
    </row>
    <row r="629" spans="1:5" x14ac:dyDescent="0.25">
      <c r="A629" s="562" t="s">
        <v>818</v>
      </c>
      <c r="B629" s="563">
        <v>14.23</v>
      </c>
      <c r="C629" s="564">
        <v>8469.34</v>
      </c>
      <c r="D629" s="560">
        <f t="shared" si="18"/>
        <v>1.1243851018974009E-2</v>
      </c>
      <c r="E629" s="560">
        <f t="shared" si="19"/>
        <v>1.543213520770179E-3</v>
      </c>
    </row>
    <row r="630" spans="1:5" x14ac:dyDescent="0.25">
      <c r="A630" s="562" t="s">
        <v>819</v>
      </c>
      <c r="B630" s="563">
        <v>14.14</v>
      </c>
      <c r="C630" s="564">
        <v>8404.98</v>
      </c>
      <c r="D630" s="560">
        <f t="shared" si="18"/>
        <v>6.3649222065063548E-3</v>
      </c>
      <c r="E630" s="560">
        <f t="shared" si="19"/>
        <v>7.6573650383463835E-3</v>
      </c>
    </row>
    <row r="631" spans="1:5" x14ac:dyDescent="0.25">
      <c r="A631" s="562" t="s">
        <v>820</v>
      </c>
      <c r="B631" s="563">
        <v>14.15</v>
      </c>
      <c r="C631" s="564">
        <v>8416.69</v>
      </c>
      <c r="D631" s="560">
        <f t="shared" ref="D631:D694" si="20">(B630-B631)/B631</f>
        <v>-7.0671378091871281E-4</v>
      </c>
      <c r="E631" s="560">
        <f t="shared" ref="E631:E694" si="21">(C630-C631)/C631</f>
        <v>-1.3912832716900521E-3</v>
      </c>
    </row>
    <row r="632" spans="1:5" x14ac:dyDescent="0.25">
      <c r="A632" s="562" t="s">
        <v>821</v>
      </c>
      <c r="B632" s="563">
        <v>13.73</v>
      </c>
      <c r="C632" s="564">
        <v>8345.3799999999992</v>
      </c>
      <c r="D632" s="560">
        <f t="shared" si="20"/>
        <v>3.0589949016751633E-2</v>
      </c>
      <c r="E632" s="560">
        <f t="shared" si="21"/>
        <v>8.5448475683553432E-3</v>
      </c>
    </row>
    <row r="633" spans="1:5" x14ac:dyDescent="0.25">
      <c r="A633" s="562" t="s">
        <v>822</v>
      </c>
      <c r="B633" s="563">
        <v>13.68</v>
      </c>
      <c r="C633" s="564">
        <v>8296.52</v>
      </c>
      <c r="D633" s="560">
        <f t="shared" si="20"/>
        <v>3.65497076023397E-3</v>
      </c>
      <c r="E633" s="560">
        <f t="shared" si="21"/>
        <v>5.8892162014915605E-3</v>
      </c>
    </row>
    <row r="634" spans="1:5" x14ac:dyDescent="0.25">
      <c r="A634" s="562" t="s">
        <v>823</v>
      </c>
      <c r="B634" s="563">
        <v>13.71</v>
      </c>
      <c r="C634" s="564">
        <v>8321.7800000000007</v>
      </c>
      <c r="D634" s="560">
        <f t="shared" si="20"/>
        <v>-2.1881838074399077E-3</v>
      </c>
      <c r="E634" s="560">
        <f t="shared" si="21"/>
        <v>-3.0354082900533558E-3</v>
      </c>
    </row>
    <row r="635" spans="1:5" x14ac:dyDescent="0.25">
      <c r="A635" s="562" t="s">
        <v>824</v>
      </c>
      <c r="B635" s="563">
        <v>13.37</v>
      </c>
      <c r="C635" s="564">
        <v>8311.61</v>
      </c>
      <c r="D635" s="560">
        <f t="shared" si="20"/>
        <v>2.5430067314884192E-2</v>
      </c>
      <c r="E635" s="560">
        <f t="shared" si="21"/>
        <v>1.2235896535087753E-3</v>
      </c>
    </row>
    <row r="636" spans="1:5" x14ac:dyDescent="0.25">
      <c r="A636" s="562" t="s">
        <v>825</v>
      </c>
      <c r="B636" s="563">
        <v>13.24</v>
      </c>
      <c r="C636" s="564">
        <v>8248.83</v>
      </c>
      <c r="D636" s="560">
        <f t="shared" si="20"/>
        <v>9.8187311178246986E-3</v>
      </c>
      <c r="E636" s="560">
        <f t="shared" si="21"/>
        <v>7.6107763161564314E-3</v>
      </c>
    </row>
    <row r="637" spans="1:5" x14ac:dyDescent="0.25">
      <c r="A637" s="562" t="s">
        <v>826</v>
      </c>
      <c r="B637" s="563">
        <v>13.11</v>
      </c>
      <c r="C637" s="564">
        <v>8228.41</v>
      </c>
      <c r="D637" s="560">
        <f t="shared" si="20"/>
        <v>9.916094584286864E-3</v>
      </c>
      <c r="E637" s="560">
        <f t="shared" si="21"/>
        <v>2.4816459072895094E-3</v>
      </c>
    </row>
    <row r="638" spans="1:5" x14ac:dyDescent="0.25">
      <c r="A638" s="562" t="s">
        <v>827</v>
      </c>
      <c r="B638" s="563">
        <v>13.07</v>
      </c>
      <c r="C638" s="564">
        <v>8256.36</v>
      </c>
      <c r="D638" s="560">
        <f t="shared" si="20"/>
        <v>3.060443764345765E-3</v>
      </c>
      <c r="E638" s="560">
        <f t="shared" si="21"/>
        <v>-3.385269053190598E-3</v>
      </c>
    </row>
    <row r="639" spans="1:5" x14ac:dyDescent="0.25">
      <c r="A639" s="562" t="s">
        <v>828</v>
      </c>
      <c r="B639" s="563">
        <v>13.11</v>
      </c>
      <c r="C639" s="564">
        <v>8116.4</v>
      </c>
      <c r="D639" s="560">
        <f t="shared" si="20"/>
        <v>-3.0511060259343363E-3</v>
      </c>
      <c r="E639" s="560">
        <f t="shared" si="21"/>
        <v>1.7244098368735025E-2</v>
      </c>
    </row>
    <row r="640" spans="1:5" x14ac:dyDescent="0.25">
      <c r="A640" s="562" t="s">
        <v>829</v>
      </c>
      <c r="B640" s="563">
        <v>12.97</v>
      </c>
      <c r="C640" s="564">
        <v>8064.86</v>
      </c>
      <c r="D640" s="560">
        <f t="shared" si="20"/>
        <v>1.0794140323824116E-2</v>
      </c>
      <c r="E640" s="560">
        <f t="shared" si="21"/>
        <v>6.3906875010849495E-3</v>
      </c>
    </row>
    <row r="641" spans="1:5" x14ac:dyDescent="0.25">
      <c r="A641" s="562" t="s">
        <v>830</v>
      </c>
      <c r="B641" s="563">
        <v>12.89</v>
      </c>
      <c r="C641" s="564">
        <v>7929.87</v>
      </c>
      <c r="D641" s="560">
        <f t="shared" si="20"/>
        <v>6.2063615205585777E-3</v>
      </c>
      <c r="E641" s="560">
        <f t="shared" si="21"/>
        <v>1.7022977678070358E-2</v>
      </c>
    </row>
    <row r="642" spans="1:5" x14ac:dyDescent="0.25">
      <c r="A642" s="562" t="s">
        <v>831</v>
      </c>
      <c r="B642" s="563">
        <v>13.06</v>
      </c>
      <c r="C642" s="564">
        <v>8092.11</v>
      </c>
      <c r="D642" s="560">
        <f t="shared" si="20"/>
        <v>-1.3016845329249611E-2</v>
      </c>
      <c r="E642" s="560">
        <f t="shared" si="21"/>
        <v>-2.004915899561422E-2</v>
      </c>
    </row>
    <row r="643" spans="1:5" x14ac:dyDescent="0.25">
      <c r="A643" s="562" t="s">
        <v>832</v>
      </c>
      <c r="B643" s="563">
        <v>13.26</v>
      </c>
      <c r="C643" s="564">
        <v>8193.9599999999991</v>
      </c>
      <c r="D643" s="560">
        <f t="shared" si="20"/>
        <v>-1.5082956259426794E-2</v>
      </c>
      <c r="E643" s="560">
        <f t="shared" si="21"/>
        <v>-1.2429887380460664E-2</v>
      </c>
    </row>
    <row r="644" spans="1:5" x14ac:dyDescent="0.25">
      <c r="A644" s="562" t="s">
        <v>833</v>
      </c>
      <c r="B644" s="563">
        <v>13.37</v>
      </c>
      <c r="C644" s="564">
        <v>8248.5300000000007</v>
      </c>
      <c r="D644" s="560">
        <f t="shared" si="20"/>
        <v>-8.227374719521275E-3</v>
      </c>
      <c r="E644" s="560">
        <f t="shared" si="21"/>
        <v>-6.6157242563222203E-3</v>
      </c>
    </row>
    <row r="645" spans="1:5" x14ac:dyDescent="0.25">
      <c r="A645" s="562" t="s">
        <v>834</v>
      </c>
      <c r="B645" s="563">
        <v>13.29</v>
      </c>
      <c r="C645" s="564">
        <v>8200.07</v>
      </c>
      <c r="D645" s="560">
        <f t="shared" si="20"/>
        <v>6.0195635816403369E-3</v>
      </c>
      <c r="E645" s="560">
        <f t="shared" si="21"/>
        <v>5.9097056488543326E-3</v>
      </c>
    </row>
    <row r="646" spans="1:5" x14ac:dyDescent="0.25">
      <c r="A646" s="562" t="s">
        <v>835</v>
      </c>
      <c r="B646" s="563">
        <v>13.76</v>
      </c>
      <c r="C646" s="564">
        <v>8379.44</v>
      </c>
      <c r="D646" s="560">
        <f t="shared" si="20"/>
        <v>-3.4156976744186093E-2</v>
      </c>
      <c r="E646" s="560">
        <f t="shared" si="21"/>
        <v>-2.1405965076425251E-2</v>
      </c>
    </row>
    <row r="647" spans="1:5" x14ac:dyDescent="0.25">
      <c r="A647" s="562" t="s">
        <v>836</v>
      </c>
      <c r="B647" s="563">
        <v>13.59</v>
      </c>
      <c r="C647" s="564">
        <v>8394.0400000000009</v>
      </c>
      <c r="D647" s="560">
        <f t="shared" si="20"/>
        <v>1.2509197939661511E-2</v>
      </c>
      <c r="E647" s="560">
        <f t="shared" si="21"/>
        <v>-1.7393293336701234E-3</v>
      </c>
    </row>
    <row r="648" spans="1:5" x14ac:dyDescent="0.25">
      <c r="A648" s="562" t="s">
        <v>837</v>
      </c>
      <c r="B648" s="563">
        <v>13.64</v>
      </c>
      <c r="C648" s="564">
        <v>8337.02</v>
      </c>
      <c r="D648" s="560">
        <f t="shared" si="20"/>
        <v>-3.6656891495601691E-3</v>
      </c>
      <c r="E648" s="560">
        <f t="shared" si="21"/>
        <v>6.8393742608270618E-3</v>
      </c>
    </row>
    <row r="649" spans="1:5" x14ac:dyDescent="0.25">
      <c r="A649" s="562" t="s">
        <v>838</v>
      </c>
      <c r="B649" s="563">
        <v>13.78</v>
      </c>
      <c r="C649" s="564">
        <v>8413.0499999999993</v>
      </c>
      <c r="D649" s="560">
        <f t="shared" si="20"/>
        <v>-1.0159651669085544E-2</v>
      </c>
      <c r="E649" s="560">
        <f t="shared" si="21"/>
        <v>-9.0371506171957657E-3</v>
      </c>
    </row>
    <row r="650" spans="1:5" x14ac:dyDescent="0.25">
      <c r="A650" s="562" t="s">
        <v>839</v>
      </c>
      <c r="B650" s="563">
        <v>13.78</v>
      </c>
      <c r="C650" s="564">
        <v>8465.4500000000007</v>
      </c>
      <c r="D650" s="560">
        <f t="shared" si="20"/>
        <v>0</v>
      </c>
      <c r="E650" s="560">
        <f t="shared" si="21"/>
        <v>-6.1898658665518608E-3</v>
      </c>
    </row>
    <row r="651" spans="1:5" x14ac:dyDescent="0.25">
      <c r="A651" s="562" t="s">
        <v>840</v>
      </c>
      <c r="B651" s="563">
        <v>13.58</v>
      </c>
      <c r="C651" s="564">
        <v>8338.76</v>
      </c>
      <c r="D651" s="560">
        <f t="shared" si="20"/>
        <v>1.4727540500736325E-2</v>
      </c>
      <c r="E651" s="560">
        <f t="shared" si="21"/>
        <v>1.5192906379365817E-2</v>
      </c>
    </row>
    <row r="652" spans="1:5" x14ac:dyDescent="0.25">
      <c r="A652" s="562" t="s">
        <v>841</v>
      </c>
      <c r="B652" s="563">
        <v>13.57</v>
      </c>
      <c r="C652" s="564">
        <v>8315.85</v>
      </c>
      <c r="D652" s="560">
        <f t="shared" si="20"/>
        <v>7.3691967575532696E-4</v>
      </c>
      <c r="E652" s="560">
        <f t="shared" si="21"/>
        <v>2.7549799479307411E-3</v>
      </c>
    </row>
    <row r="653" spans="1:5" x14ac:dyDescent="0.25">
      <c r="A653" s="562" t="s">
        <v>842</v>
      </c>
      <c r="B653" s="563">
        <v>13.64</v>
      </c>
      <c r="C653" s="564">
        <v>8438.5499999999993</v>
      </c>
      <c r="D653" s="560">
        <f t="shared" si="20"/>
        <v>-5.1319648093841848E-3</v>
      </c>
      <c r="E653" s="560">
        <f t="shared" si="21"/>
        <v>-1.4540412748635597E-2</v>
      </c>
    </row>
    <row r="654" spans="1:5" x14ac:dyDescent="0.25">
      <c r="A654" s="562" t="s">
        <v>843</v>
      </c>
      <c r="B654" s="563">
        <v>13.61</v>
      </c>
      <c r="C654" s="564">
        <v>8378.0400000000009</v>
      </c>
      <c r="D654" s="560">
        <f t="shared" si="20"/>
        <v>2.2042615723733387E-3</v>
      </c>
      <c r="E654" s="560">
        <f t="shared" si="21"/>
        <v>7.2224529842300099E-3</v>
      </c>
    </row>
    <row r="655" spans="1:5" x14ac:dyDescent="0.25">
      <c r="A655" s="562" t="s">
        <v>844</v>
      </c>
      <c r="B655" s="563">
        <v>13.5</v>
      </c>
      <c r="C655" s="564">
        <v>8276.2900000000009</v>
      </c>
      <c r="D655" s="560">
        <f t="shared" si="20"/>
        <v>8.1481481481481058E-3</v>
      </c>
      <c r="E655" s="560">
        <f t="shared" si="21"/>
        <v>1.2294155956352422E-2</v>
      </c>
    </row>
    <row r="656" spans="1:5" x14ac:dyDescent="0.25">
      <c r="A656" s="562" t="s">
        <v>845</v>
      </c>
      <c r="B656" s="563">
        <v>13.5</v>
      </c>
      <c r="C656" s="564">
        <v>8292.92</v>
      </c>
      <c r="D656" s="560">
        <f t="shared" si="20"/>
        <v>0</v>
      </c>
      <c r="E656" s="560">
        <f t="shared" si="21"/>
        <v>-2.0053250242374459E-3</v>
      </c>
    </row>
    <row r="657" spans="1:5" x14ac:dyDescent="0.25">
      <c r="A657" s="562" t="s">
        <v>846</v>
      </c>
      <c r="B657" s="563">
        <v>13.5</v>
      </c>
      <c r="C657" s="564">
        <v>8325.86</v>
      </c>
      <c r="D657" s="560">
        <f t="shared" si="20"/>
        <v>0</v>
      </c>
      <c r="E657" s="560">
        <f t="shared" si="21"/>
        <v>-3.9563480529339317E-3</v>
      </c>
    </row>
    <row r="658" spans="1:5" x14ac:dyDescent="0.25">
      <c r="A658" s="562" t="s">
        <v>847</v>
      </c>
      <c r="B658" s="563">
        <v>13.82</v>
      </c>
      <c r="C658" s="564">
        <v>8507.9</v>
      </c>
      <c r="D658" s="560">
        <f t="shared" si="20"/>
        <v>-2.3154848046309715E-2</v>
      </c>
      <c r="E658" s="560">
        <f t="shared" si="21"/>
        <v>-2.1396584351014828E-2</v>
      </c>
    </row>
    <row r="659" spans="1:5" x14ac:dyDescent="0.25">
      <c r="A659" s="562" t="s">
        <v>848</v>
      </c>
      <c r="B659" s="563">
        <v>13.63</v>
      </c>
      <c r="C659" s="564">
        <v>8497.41</v>
      </c>
      <c r="D659" s="560">
        <f t="shared" si="20"/>
        <v>1.3939838591342589E-2</v>
      </c>
      <c r="E659" s="560">
        <f t="shared" si="21"/>
        <v>1.2344938045827825E-3</v>
      </c>
    </row>
    <row r="660" spans="1:5" x14ac:dyDescent="0.25">
      <c r="A660" s="562" t="s">
        <v>849</v>
      </c>
      <c r="B660" s="563">
        <v>13.24</v>
      </c>
      <c r="C660" s="564">
        <v>8453.76</v>
      </c>
      <c r="D660" s="560">
        <f t="shared" si="20"/>
        <v>2.9456193353474363E-2</v>
      </c>
      <c r="E660" s="560">
        <f t="shared" si="21"/>
        <v>5.1633829207358185E-3</v>
      </c>
    </row>
    <row r="661" spans="1:5" x14ac:dyDescent="0.25">
      <c r="A661" s="562" t="s">
        <v>850</v>
      </c>
      <c r="B661" s="563">
        <v>13.21</v>
      </c>
      <c r="C661" s="564">
        <v>8383.67</v>
      </c>
      <c r="D661" s="560">
        <f t="shared" si="20"/>
        <v>2.2710068130203905E-3</v>
      </c>
      <c r="E661" s="560">
        <f t="shared" si="21"/>
        <v>8.3603004412149025E-3</v>
      </c>
    </row>
    <row r="662" spans="1:5" x14ac:dyDescent="0.25">
      <c r="A662" s="562" t="s">
        <v>851</v>
      </c>
      <c r="B662" s="563">
        <v>13.22</v>
      </c>
      <c r="C662" s="564">
        <v>8405.15</v>
      </c>
      <c r="D662" s="560">
        <f t="shared" si="20"/>
        <v>-7.5642965204234392E-4</v>
      </c>
      <c r="E662" s="560">
        <f t="shared" si="21"/>
        <v>-2.5555760456386339E-3</v>
      </c>
    </row>
    <row r="663" spans="1:5" x14ac:dyDescent="0.25">
      <c r="A663" s="562" t="s">
        <v>852</v>
      </c>
      <c r="B663" s="563">
        <v>13</v>
      </c>
      <c r="C663" s="564">
        <v>8374.89</v>
      </c>
      <c r="D663" s="560">
        <f t="shared" si="20"/>
        <v>1.6923076923076971E-2</v>
      </c>
      <c r="E663" s="560">
        <f t="shared" si="21"/>
        <v>3.6131817850742183E-3</v>
      </c>
    </row>
    <row r="664" spans="1:5" x14ac:dyDescent="0.25">
      <c r="A664" s="562" t="s">
        <v>853</v>
      </c>
      <c r="B664" s="563">
        <v>12.77</v>
      </c>
      <c r="C664" s="564">
        <v>8337.1299999999992</v>
      </c>
      <c r="D664" s="560">
        <f t="shared" si="20"/>
        <v>1.8010963194988287E-2</v>
      </c>
      <c r="E664" s="560">
        <f t="shared" si="21"/>
        <v>4.5291365253990546E-3</v>
      </c>
    </row>
    <row r="665" spans="1:5" x14ac:dyDescent="0.25">
      <c r="A665" s="562" t="s">
        <v>854</v>
      </c>
      <c r="B665" s="563">
        <v>12.76</v>
      </c>
      <c r="C665" s="564">
        <v>8343.99</v>
      </c>
      <c r="D665" s="560">
        <f t="shared" si="20"/>
        <v>7.836990595611118E-4</v>
      </c>
      <c r="E665" s="560">
        <f t="shared" si="21"/>
        <v>-8.2214863632393883E-4</v>
      </c>
    </row>
    <row r="666" spans="1:5" x14ac:dyDescent="0.25">
      <c r="A666" s="562" t="s">
        <v>855</v>
      </c>
      <c r="B666" s="563">
        <v>12.66</v>
      </c>
      <c r="C666" s="564">
        <v>8379.85</v>
      </c>
      <c r="D666" s="560">
        <f t="shared" si="20"/>
        <v>7.8988941548182971E-3</v>
      </c>
      <c r="E666" s="560">
        <f t="shared" si="21"/>
        <v>-4.2793128755288677E-3</v>
      </c>
    </row>
    <row r="667" spans="1:5" x14ac:dyDescent="0.25">
      <c r="A667" s="562" t="s">
        <v>856</v>
      </c>
      <c r="B667" s="563">
        <v>12.7</v>
      </c>
      <c r="C667" s="564">
        <v>8336.64</v>
      </c>
      <c r="D667" s="560">
        <f t="shared" si="20"/>
        <v>-3.1496062992125316E-3</v>
      </c>
      <c r="E667" s="560">
        <f t="shared" si="21"/>
        <v>5.1831433287272749E-3</v>
      </c>
    </row>
    <row r="668" spans="1:5" x14ac:dyDescent="0.25">
      <c r="A668" s="562" t="s">
        <v>857</v>
      </c>
      <c r="B668" s="563">
        <v>12.73</v>
      </c>
      <c r="C668" s="564">
        <v>8288.5</v>
      </c>
      <c r="D668" s="560">
        <f t="shared" si="20"/>
        <v>-2.356637863315093E-3</v>
      </c>
      <c r="E668" s="560">
        <f t="shared" si="21"/>
        <v>5.8080472944440388E-3</v>
      </c>
    </row>
    <row r="669" spans="1:5" x14ac:dyDescent="0.25">
      <c r="A669" s="562" t="s">
        <v>858</v>
      </c>
      <c r="B669" s="563">
        <v>12.76</v>
      </c>
      <c r="C669" s="564">
        <v>8289.0499999999993</v>
      </c>
      <c r="D669" s="560">
        <f t="shared" si="20"/>
        <v>-2.3510971786833354E-3</v>
      </c>
      <c r="E669" s="560">
        <f t="shared" si="21"/>
        <v>-6.635259770411235E-5</v>
      </c>
    </row>
    <row r="670" spans="1:5" x14ac:dyDescent="0.25">
      <c r="A670" s="562" t="s">
        <v>859</v>
      </c>
      <c r="B670" s="563">
        <v>12.74</v>
      </c>
      <c r="C670" s="564">
        <v>8272.57</v>
      </c>
      <c r="D670" s="560">
        <f t="shared" si="20"/>
        <v>1.5698587127158221E-3</v>
      </c>
      <c r="E670" s="560">
        <f t="shared" si="21"/>
        <v>1.9921257843692544E-3</v>
      </c>
    </row>
    <row r="671" spans="1:5" x14ac:dyDescent="0.25">
      <c r="A671" s="562" t="s">
        <v>860</v>
      </c>
      <c r="B671" s="563">
        <v>12.63</v>
      </c>
      <c r="C671" s="564">
        <v>8290.09</v>
      </c>
      <c r="D671" s="560">
        <f t="shared" si="20"/>
        <v>8.7094220110846728E-3</v>
      </c>
      <c r="E671" s="560">
        <f t="shared" si="21"/>
        <v>-2.1133666823883019E-3</v>
      </c>
    </row>
    <row r="672" spans="1:5" x14ac:dyDescent="0.25">
      <c r="A672" s="562" t="s">
        <v>861</v>
      </c>
      <c r="B672" s="563">
        <v>12.44</v>
      </c>
      <c r="C672" s="564">
        <v>8139.16</v>
      </c>
      <c r="D672" s="560">
        <f t="shared" si="20"/>
        <v>1.5273311897106213E-2</v>
      </c>
      <c r="E672" s="560">
        <f t="shared" si="21"/>
        <v>1.8543682640469076E-2</v>
      </c>
    </row>
    <row r="673" spans="1:5" x14ac:dyDescent="0.25">
      <c r="A673" s="562" t="s">
        <v>862</v>
      </c>
      <c r="B673" s="563">
        <v>12.37</v>
      </c>
      <c r="C673" s="564">
        <v>8062.64</v>
      </c>
      <c r="D673" s="560">
        <f t="shared" si="20"/>
        <v>5.6588520614389883E-3</v>
      </c>
      <c r="E673" s="560">
        <f t="shared" si="21"/>
        <v>9.4906879136361696E-3</v>
      </c>
    </row>
    <row r="674" spans="1:5" x14ac:dyDescent="0.25">
      <c r="A674" s="562" t="s">
        <v>863</v>
      </c>
      <c r="B674" s="563">
        <v>12.28</v>
      </c>
      <c r="C674" s="564">
        <v>8207.06</v>
      </c>
      <c r="D674" s="560">
        <f t="shared" si="20"/>
        <v>7.3289902280130178E-3</v>
      </c>
      <c r="E674" s="560">
        <f t="shared" si="21"/>
        <v>-1.7597044495836409E-2</v>
      </c>
    </row>
    <row r="675" spans="1:5" x14ac:dyDescent="0.25">
      <c r="A675" s="562" t="s">
        <v>864</v>
      </c>
      <c r="B675" s="563">
        <v>12.2</v>
      </c>
      <c r="C675" s="564">
        <v>8193.64</v>
      </c>
      <c r="D675" s="560">
        <f t="shared" si="20"/>
        <v>6.5573770491803339E-3</v>
      </c>
      <c r="E675" s="560">
        <f t="shared" si="21"/>
        <v>1.6378557027157739E-3</v>
      </c>
    </row>
    <row r="676" spans="1:5" x14ac:dyDescent="0.25">
      <c r="A676" s="562" t="s">
        <v>865</v>
      </c>
      <c r="B676" s="563">
        <v>12.01</v>
      </c>
      <c r="C676" s="564">
        <v>8141.13</v>
      </c>
      <c r="D676" s="560">
        <f t="shared" si="20"/>
        <v>1.582014987510404E-2</v>
      </c>
      <c r="E676" s="560">
        <f t="shared" si="21"/>
        <v>6.4499645626589072E-3</v>
      </c>
    </row>
    <row r="677" spans="1:5" x14ac:dyDescent="0.25">
      <c r="A677" s="562" t="s">
        <v>866</v>
      </c>
      <c r="B677" s="563">
        <v>11.97</v>
      </c>
      <c r="C677" s="564">
        <v>8157.42</v>
      </c>
      <c r="D677" s="560">
        <f t="shared" si="20"/>
        <v>3.3416875522137967E-3</v>
      </c>
      <c r="E677" s="560">
        <f t="shared" si="21"/>
        <v>-1.9969549195701535E-3</v>
      </c>
    </row>
    <row r="678" spans="1:5" x14ac:dyDescent="0.25">
      <c r="A678" s="562" t="s">
        <v>867</v>
      </c>
      <c r="B678" s="563">
        <v>11.97</v>
      </c>
      <c r="C678" s="564">
        <v>8105.75</v>
      </c>
      <c r="D678" s="560">
        <f t="shared" si="20"/>
        <v>0</v>
      </c>
      <c r="E678" s="560">
        <f t="shared" si="21"/>
        <v>6.3744872467075935E-3</v>
      </c>
    </row>
    <row r="679" spans="1:5" x14ac:dyDescent="0.25">
      <c r="A679" s="562" t="s">
        <v>868</v>
      </c>
      <c r="B679" s="563">
        <v>11.98</v>
      </c>
      <c r="C679" s="564">
        <v>8076.72</v>
      </c>
      <c r="D679" s="560">
        <f t="shared" si="20"/>
        <v>-8.3472454090148464E-4</v>
      </c>
      <c r="E679" s="560">
        <f t="shared" si="21"/>
        <v>3.594280846680304E-3</v>
      </c>
    </row>
    <row r="680" spans="1:5" x14ac:dyDescent="0.25">
      <c r="A680" s="562" t="s">
        <v>869</v>
      </c>
      <c r="B680" s="563">
        <v>12.02</v>
      </c>
      <c r="C680" s="564">
        <v>8104.92</v>
      </c>
      <c r="D680" s="560">
        <f t="shared" si="20"/>
        <v>-3.327787021630545E-3</v>
      </c>
      <c r="E680" s="560">
        <f t="shared" si="21"/>
        <v>-3.4793680875319952E-3</v>
      </c>
    </row>
    <row r="681" spans="1:5" x14ac:dyDescent="0.25">
      <c r="A681" s="562" t="s">
        <v>870</v>
      </c>
      <c r="B681" s="563">
        <v>11.99</v>
      </c>
      <c r="C681" s="564">
        <v>8190.91</v>
      </c>
      <c r="D681" s="560">
        <f t="shared" si="20"/>
        <v>2.5020850708923569E-3</v>
      </c>
      <c r="E681" s="560">
        <f t="shared" si="21"/>
        <v>-1.0498223030163898E-2</v>
      </c>
    </row>
    <row r="682" spans="1:5" x14ac:dyDescent="0.25">
      <c r="A682" s="562" t="s">
        <v>871</v>
      </c>
      <c r="B682" s="563">
        <v>11.98</v>
      </c>
      <c r="C682" s="564">
        <v>8174.12</v>
      </c>
      <c r="D682" s="560">
        <f t="shared" si="20"/>
        <v>8.3472454090148464E-4</v>
      </c>
      <c r="E682" s="560">
        <f t="shared" si="21"/>
        <v>2.0540437380415217E-3</v>
      </c>
    </row>
    <row r="683" spans="1:5" x14ac:dyDescent="0.25">
      <c r="A683" s="562" t="s">
        <v>872</v>
      </c>
      <c r="B683" s="563">
        <v>12.12</v>
      </c>
      <c r="C683" s="564">
        <v>8119.43</v>
      </c>
      <c r="D683" s="560">
        <f t="shared" si="20"/>
        <v>-1.1551155115511452E-2</v>
      </c>
      <c r="E683" s="560">
        <f t="shared" si="21"/>
        <v>6.7356945007222922E-3</v>
      </c>
    </row>
    <row r="684" spans="1:5" x14ac:dyDescent="0.25">
      <c r="A684" s="562" t="s">
        <v>873</v>
      </c>
      <c r="B684" s="563">
        <v>12.03</v>
      </c>
      <c r="C684" s="564">
        <v>8122.98</v>
      </c>
      <c r="D684" s="560">
        <f t="shared" si="20"/>
        <v>7.4812967581047267E-3</v>
      </c>
      <c r="E684" s="560">
        <f t="shared" si="21"/>
        <v>-4.3703172973456449E-4</v>
      </c>
    </row>
    <row r="685" spans="1:5" x14ac:dyDescent="0.25">
      <c r="A685" s="562" t="s">
        <v>874</v>
      </c>
      <c r="B685" s="563">
        <v>11.88</v>
      </c>
      <c r="C685" s="564">
        <v>8018.68</v>
      </c>
      <c r="D685" s="560">
        <f t="shared" si="20"/>
        <v>1.2626262626262506E-2</v>
      </c>
      <c r="E685" s="560">
        <f t="shared" si="21"/>
        <v>1.3007128355290306E-2</v>
      </c>
    </row>
    <row r="686" spans="1:5" x14ac:dyDescent="0.25">
      <c r="A686" s="562" t="s">
        <v>875</v>
      </c>
      <c r="B686" s="563">
        <v>11.64</v>
      </c>
      <c r="C686" s="564">
        <v>7966.09</v>
      </c>
      <c r="D686" s="560">
        <f t="shared" si="20"/>
        <v>2.0618556701030945E-2</v>
      </c>
      <c r="E686" s="560">
        <f t="shared" si="21"/>
        <v>6.6017330961613717E-3</v>
      </c>
    </row>
    <row r="687" spans="1:5" x14ac:dyDescent="0.25">
      <c r="A687" s="562" t="s">
        <v>876</v>
      </c>
      <c r="B687" s="563">
        <v>11.78</v>
      </c>
      <c r="C687" s="564">
        <v>7980.32</v>
      </c>
      <c r="D687" s="560">
        <f t="shared" si="20"/>
        <v>-1.1884550084889542E-2</v>
      </c>
      <c r="E687" s="560">
        <f t="shared" si="21"/>
        <v>-1.7831365158288847E-3</v>
      </c>
    </row>
    <row r="688" spans="1:5" x14ac:dyDescent="0.25">
      <c r="A688" s="562" t="s">
        <v>877</v>
      </c>
      <c r="B688" s="563">
        <v>11.62</v>
      </c>
      <c r="C688" s="564">
        <v>8000.9</v>
      </c>
      <c r="D688" s="560">
        <f t="shared" si="20"/>
        <v>1.3769363166953541E-2</v>
      </c>
      <c r="E688" s="560">
        <f t="shared" si="21"/>
        <v>-2.5722106263045318E-3</v>
      </c>
    </row>
    <row r="689" spans="1:5" x14ac:dyDescent="0.25">
      <c r="A689" s="562" t="s">
        <v>878</v>
      </c>
      <c r="B689" s="563">
        <v>11.59</v>
      </c>
      <c r="C689" s="564">
        <v>8040.04</v>
      </c>
      <c r="D689" s="560">
        <f t="shared" si="20"/>
        <v>2.5884383088869162E-3</v>
      </c>
      <c r="E689" s="560">
        <f t="shared" si="21"/>
        <v>-4.8681349844031038E-3</v>
      </c>
    </row>
    <row r="690" spans="1:5" x14ac:dyDescent="0.25">
      <c r="A690" s="562" t="s">
        <v>879</v>
      </c>
      <c r="B690" s="563">
        <v>11.46</v>
      </c>
      <c r="C690" s="564">
        <v>8022.18</v>
      </c>
      <c r="D690" s="560">
        <f t="shared" si="20"/>
        <v>1.1343804537521728E-2</v>
      </c>
      <c r="E690" s="560">
        <f t="shared" si="21"/>
        <v>2.2263275069868381E-3</v>
      </c>
    </row>
    <row r="691" spans="1:5" x14ac:dyDescent="0.25">
      <c r="A691" s="562" t="s">
        <v>880</v>
      </c>
      <c r="B691" s="563">
        <v>11.5</v>
      </c>
      <c r="C691" s="564">
        <v>8043.97</v>
      </c>
      <c r="D691" s="560">
        <f t="shared" si="20"/>
        <v>-3.4782608695651434E-3</v>
      </c>
      <c r="E691" s="560">
        <f t="shared" si="21"/>
        <v>-2.7088614204180228E-3</v>
      </c>
    </row>
    <row r="692" spans="1:5" x14ac:dyDescent="0.25">
      <c r="A692" s="562" t="s">
        <v>881</v>
      </c>
      <c r="B692" s="563">
        <v>11.56</v>
      </c>
      <c r="C692" s="564">
        <v>7964.02</v>
      </c>
      <c r="D692" s="560">
        <f t="shared" si="20"/>
        <v>-5.1903114186851642E-3</v>
      </c>
      <c r="E692" s="560">
        <f t="shared" si="21"/>
        <v>1.003889995253651E-2</v>
      </c>
    </row>
    <row r="693" spans="1:5" x14ac:dyDescent="0.25">
      <c r="A693" s="562" t="s">
        <v>882</v>
      </c>
      <c r="B693" s="563">
        <v>11.41</v>
      </c>
      <c r="C693" s="564">
        <v>7951.91</v>
      </c>
      <c r="D693" s="560">
        <f t="shared" si="20"/>
        <v>1.3146362839614404E-2</v>
      </c>
      <c r="E693" s="560">
        <f t="shared" si="21"/>
        <v>1.5229045600365927E-3</v>
      </c>
    </row>
    <row r="694" spans="1:5" x14ac:dyDescent="0.25">
      <c r="A694" s="562" t="s">
        <v>883</v>
      </c>
      <c r="B694" s="563">
        <v>11.18</v>
      </c>
      <c r="C694" s="564">
        <v>7961.48</v>
      </c>
      <c r="D694" s="560">
        <f t="shared" si="20"/>
        <v>2.0572450805008982E-2</v>
      </c>
      <c r="E694" s="560">
        <f t="shared" si="21"/>
        <v>-1.2020378120650569E-3</v>
      </c>
    </row>
    <row r="695" spans="1:5" x14ac:dyDescent="0.25">
      <c r="A695" s="562" t="s">
        <v>884</v>
      </c>
      <c r="B695" s="563">
        <v>11.07</v>
      </c>
      <c r="C695" s="564">
        <v>7931.67</v>
      </c>
      <c r="D695" s="560">
        <f t="shared" ref="D695:D731" si="22">(B694-B695)/B695</f>
        <v>9.9367660343269576E-3</v>
      </c>
      <c r="E695" s="560">
        <f t="shared" ref="E695:E731" si="23">(C694-C695)/C695</f>
        <v>3.7583510156120326E-3</v>
      </c>
    </row>
    <row r="696" spans="1:5" x14ac:dyDescent="0.25">
      <c r="A696" s="562" t="s">
        <v>885</v>
      </c>
      <c r="B696" s="563">
        <v>10.92</v>
      </c>
      <c r="C696" s="564">
        <v>7920.94</v>
      </c>
      <c r="D696" s="560">
        <f t="shared" si="22"/>
        <v>1.3736263736263769E-2</v>
      </c>
      <c r="E696" s="560">
        <f t="shared" si="23"/>
        <v>1.3546372021503096E-3</v>
      </c>
    </row>
    <row r="697" spans="1:5" x14ac:dyDescent="0.25">
      <c r="A697" s="562" t="s">
        <v>886</v>
      </c>
      <c r="B697" s="563">
        <v>10.66</v>
      </c>
      <c r="C697" s="564">
        <v>7925.36</v>
      </c>
      <c r="D697" s="560">
        <f t="shared" si="22"/>
        <v>2.4390243902439004E-2</v>
      </c>
      <c r="E697" s="560">
        <f t="shared" si="23"/>
        <v>-5.5770337246510856E-4</v>
      </c>
    </row>
    <row r="698" spans="1:5" x14ac:dyDescent="0.25">
      <c r="A698" s="562" t="s">
        <v>887</v>
      </c>
      <c r="B698" s="563">
        <v>10.81</v>
      </c>
      <c r="C698" s="564">
        <v>7931.76</v>
      </c>
      <c r="D698" s="560">
        <f t="shared" si="22"/>
        <v>-1.3876040703052761E-2</v>
      </c>
      <c r="E698" s="560">
        <f t="shared" si="23"/>
        <v>-8.0688270951220732E-4</v>
      </c>
    </row>
    <row r="699" spans="1:5" x14ac:dyDescent="0.25">
      <c r="A699" s="562" t="s">
        <v>888</v>
      </c>
      <c r="B699" s="563">
        <v>10.69</v>
      </c>
      <c r="C699" s="564">
        <v>7906.1</v>
      </c>
      <c r="D699" s="560">
        <f t="shared" si="22"/>
        <v>1.1225444340505238E-2</v>
      </c>
      <c r="E699" s="560">
        <f t="shared" si="23"/>
        <v>3.2455951733471439E-3</v>
      </c>
    </row>
    <row r="700" spans="1:5" x14ac:dyDescent="0.25">
      <c r="A700" s="562" t="s">
        <v>889</v>
      </c>
      <c r="B700" s="563">
        <v>10.44</v>
      </c>
      <c r="C700" s="564">
        <v>7846.96</v>
      </c>
      <c r="D700" s="560">
        <f t="shared" si="22"/>
        <v>2.3946360153256706E-2</v>
      </c>
      <c r="E700" s="560">
        <f t="shared" si="23"/>
        <v>7.5366766238135954E-3</v>
      </c>
    </row>
    <row r="701" spans="1:5" x14ac:dyDescent="0.25">
      <c r="A701" s="562" t="s">
        <v>890</v>
      </c>
      <c r="B701" s="563">
        <v>10.220000000000001</v>
      </c>
      <c r="C701" s="564">
        <v>7835.31</v>
      </c>
      <c r="D701" s="560">
        <f t="shared" si="22"/>
        <v>2.1526418786692647E-2</v>
      </c>
      <c r="E701" s="560">
        <f t="shared" si="23"/>
        <v>1.4868588479587451E-3</v>
      </c>
    </row>
    <row r="702" spans="1:5" x14ac:dyDescent="0.25">
      <c r="A702" s="562" t="s">
        <v>891</v>
      </c>
      <c r="B702" s="563">
        <v>10.27</v>
      </c>
      <c r="C702" s="564">
        <v>7840.24</v>
      </c>
      <c r="D702" s="560">
        <f t="shared" si="22"/>
        <v>-4.868549172346537E-3</v>
      </c>
      <c r="E702" s="560">
        <f t="shared" si="23"/>
        <v>-6.2880728140967388E-4</v>
      </c>
    </row>
    <row r="703" spans="1:5" x14ac:dyDescent="0.25">
      <c r="A703" s="562" t="s">
        <v>892</v>
      </c>
      <c r="B703" s="563">
        <v>10.210000000000001</v>
      </c>
      <c r="C703" s="564">
        <v>7798.78</v>
      </c>
      <c r="D703" s="560">
        <f t="shared" si="22"/>
        <v>5.8765915768852805E-3</v>
      </c>
      <c r="E703" s="560">
        <f t="shared" si="23"/>
        <v>5.3162161261120378E-3</v>
      </c>
    </row>
    <row r="704" spans="1:5" x14ac:dyDescent="0.25">
      <c r="A704" s="562" t="s">
        <v>893</v>
      </c>
      <c r="B704" s="563">
        <v>10.19</v>
      </c>
      <c r="C704" s="564">
        <v>7855.22</v>
      </c>
      <c r="D704" s="560">
        <f t="shared" si="22"/>
        <v>1.9627085377822719E-3</v>
      </c>
      <c r="E704" s="560">
        <f t="shared" si="23"/>
        <v>-7.1850311003384387E-3</v>
      </c>
    </row>
    <row r="705" spans="1:5" x14ac:dyDescent="0.25">
      <c r="A705" s="562" t="s">
        <v>894</v>
      </c>
      <c r="B705" s="563">
        <v>9.81</v>
      </c>
      <c r="C705" s="564">
        <v>7850.02</v>
      </c>
      <c r="D705" s="560">
        <f t="shared" si="22"/>
        <v>3.8735983690112025E-2</v>
      </c>
      <c r="E705" s="560">
        <f t="shared" si="23"/>
        <v>6.6241869447464057E-4</v>
      </c>
    </row>
    <row r="706" spans="1:5" x14ac:dyDescent="0.25">
      <c r="A706" s="562" t="s">
        <v>895</v>
      </c>
      <c r="B706" s="563">
        <v>9.8699999999999992</v>
      </c>
      <c r="C706" s="564">
        <v>7823.3</v>
      </c>
      <c r="D706" s="560">
        <f t="shared" si="22"/>
        <v>-6.079027355622971E-3</v>
      </c>
      <c r="E706" s="560">
        <f t="shared" si="23"/>
        <v>3.4154384978206452E-3</v>
      </c>
    </row>
    <row r="707" spans="1:5" x14ac:dyDescent="0.25">
      <c r="A707" s="562" t="s">
        <v>896</v>
      </c>
      <c r="B707" s="563">
        <v>9.6300000000000008</v>
      </c>
      <c r="C707" s="564">
        <v>7782.14</v>
      </c>
      <c r="D707" s="560">
        <f t="shared" si="22"/>
        <v>2.4922118380062142E-2</v>
      </c>
      <c r="E707" s="560">
        <f t="shared" si="23"/>
        <v>5.2890336077222782E-3</v>
      </c>
    </row>
    <row r="708" spans="1:5" x14ac:dyDescent="0.25">
      <c r="A708" s="562" t="s">
        <v>897</v>
      </c>
      <c r="B708" s="563">
        <v>9.52</v>
      </c>
      <c r="C708" s="564">
        <v>7750.32</v>
      </c>
      <c r="D708" s="560">
        <f t="shared" si="22"/>
        <v>1.1554621848739623E-2</v>
      </c>
      <c r="E708" s="560">
        <f t="shared" si="23"/>
        <v>4.1056369285398051E-3</v>
      </c>
    </row>
    <row r="709" spans="1:5" x14ac:dyDescent="0.25">
      <c r="A709" s="562" t="s">
        <v>898</v>
      </c>
      <c r="B709" s="563">
        <v>9.39</v>
      </c>
      <c r="C709" s="564">
        <v>7739.64</v>
      </c>
      <c r="D709" s="560">
        <f t="shared" si="22"/>
        <v>1.3844515441959424E-2</v>
      </c>
      <c r="E709" s="560">
        <f t="shared" si="23"/>
        <v>1.3799091430608376E-3</v>
      </c>
    </row>
    <row r="710" spans="1:5" x14ac:dyDescent="0.25">
      <c r="A710" s="562" t="s">
        <v>899</v>
      </c>
      <c r="B710" s="563">
        <v>9.41</v>
      </c>
      <c r="C710" s="564">
        <v>7740.69</v>
      </c>
      <c r="D710" s="560">
        <f t="shared" si="22"/>
        <v>-2.1253985122209962E-3</v>
      </c>
      <c r="E710" s="560">
        <f t="shared" si="23"/>
        <v>-1.3564682218242464E-4</v>
      </c>
    </row>
    <row r="711" spans="1:5" x14ac:dyDescent="0.25">
      <c r="A711" s="562" t="s">
        <v>900</v>
      </c>
      <c r="B711" s="563">
        <v>9.56</v>
      </c>
      <c r="C711" s="564">
        <v>7751.58</v>
      </c>
      <c r="D711" s="560">
        <f t="shared" si="22"/>
        <v>-1.5690376569037694E-2</v>
      </c>
      <c r="E711" s="560">
        <f t="shared" si="23"/>
        <v>-1.4048748771218677E-3</v>
      </c>
    </row>
    <row r="712" spans="1:5" x14ac:dyDescent="0.25">
      <c r="A712" s="562" t="s">
        <v>901</v>
      </c>
      <c r="B712" s="563">
        <v>9.58</v>
      </c>
      <c r="C712" s="564">
        <v>7712.25</v>
      </c>
      <c r="D712" s="560">
        <f t="shared" si="22"/>
        <v>-2.087682672233776E-3</v>
      </c>
      <c r="E712" s="560">
        <f t="shared" si="23"/>
        <v>5.0996790819799577E-3</v>
      </c>
    </row>
    <row r="713" spans="1:5" x14ac:dyDescent="0.25">
      <c r="A713" s="562" t="s">
        <v>902</v>
      </c>
      <c r="B713" s="563">
        <v>9.31</v>
      </c>
      <c r="C713" s="564">
        <v>7603.73</v>
      </c>
      <c r="D713" s="560">
        <f t="shared" si="22"/>
        <v>2.900107411385602E-2</v>
      </c>
      <c r="E713" s="560">
        <f t="shared" si="23"/>
        <v>1.4271942849101748E-2</v>
      </c>
    </row>
    <row r="714" spans="1:5" x14ac:dyDescent="0.25">
      <c r="A714" s="562" t="s">
        <v>903</v>
      </c>
      <c r="B714" s="563">
        <v>9.0500000000000007</v>
      </c>
      <c r="C714" s="564">
        <v>7430.94</v>
      </c>
      <c r="D714" s="560">
        <f t="shared" si="22"/>
        <v>2.8729281767955774E-2</v>
      </c>
      <c r="E714" s="560">
        <f t="shared" si="23"/>
        <v>2.3252778248781442E-2</v>
      </c>
    </row>
    <row r="715" spans="1:5" x14ac:dyDescent="0.25">
      <c r="A715" s="562" t="s">
        <v>904</v>
      </c>
      <c r="B715" s="563">
        <v>9.09</v>
      </c>
      <c r="C715" s="564">
        <v>7483.34</v>
      </c>
      <c r="D715" s="560">
        <f t="shared" si="22"/>
        <v>-4.4004400440043065E-3</v>
      </c>
      <c r="E715" s="560">
        <f t="shared" si="23"/>
        <v>-7.0022209334335396E-3</v>
      </c>
    </row>
    <row r="716" spans="1:5" x14ac:dyDescent="0.25">
      <c r="A716" s="562" t="s">
        <v>905</v>
      </c>
      <c r="B716" s="563">
        <v>8.98</v>
      </c>
      <c r="C716" s="564">
        <v>7500.54</v>
      </c>
      <c r="D716" s="560">
        <f t="shared" si="22"/>
        <v>1.2249443207126886E-2</v>
      </c>
      <c r="E716" s="560">
        <f t="shared" si="23"/>
        <v>-2.293168225221093E-3</v>
      </c>
    </row>
    <row r="717" spans="1:5" x14ac:dyDescent="0.25">
      <c r="A717" s="562" t="s">
        <v>906</v>
      </c>
      <c r="B717" s="563">
        <v>8.9600000000000009</v>
      </c>
      <c r="C717" s="564">
        <v>7579.26</v>
      </c>
      <c r="D717" s="560">
        <f t="shared" si="22"/>
        <v>2.2321428571428093E-3</v>
      </c>
      <c r="E717" s="560">
        <f t="shared" si="23"/>
        <v>-1.0386238234339533E-2</v>
      </c>
    </row>
    <row r="718" spans="1:5" x14ac:dyDescent="0.25">
      <c r="A718" s="562" t="s">
        <v>907</v>
      </c>
      <c r="B718" s="563">
        <v>8.86</v>
      </c>
      <c r="C718" s="564">
        <v>7470.77</v>
      </c>
      <c r="D718" s="560">
        <f t="shared" si="22"/>
        <v>1.1286681715575782E-2</v>
      </c>
      <c r="E718" s="560">
        <f t="shared" si="23"/>
        <v>1.4521930135715566E-2</v>
      </c>
    </row>
    <row r="719" spans="1:5" x14ac:dyDescent="0.25">
      <c r="A719" s="562" t="s">
        <v>908</v>
      </c>
      <c r="B719" s="563">
        <v>8.75</v>
      </c>
      <c r="C719" s="564">
        <v>7610.3</v>
      </c>
      <c r="D719" s="560">
        <f t="shared" si="22"/>
        <v>1.2571428571428506E-2</v>
      </c>
      <c r="E719" s="560">
        <f t="shared" si="23"/>
        <v>-1.8334362640106138E-2</v>
      </c>
    </row>
    <row r="720" spans="1:5" x14ac:dyDescent="0.25">
      <c r="A720" s="562" t="s">
        <v>909</v>
      </c>
      <c r="B720" s="563">
        <v>8.9499999999999993</v>
      </c>
      <c r="C720" s="564">
        <v>7641.08</v>
      </c>
      <c r="D720" s="560">
        <f t="shared" si="22"/>
        <v>-2.234636871508372E-2</v>
      </c>
      <c r="E720" s="560">
        <f>(C719-C720)/C720</f>
        <v>-4.0282263763760807E-3</v>
      </c>
    </row>
    <row r="721" spans="1:5" x14ac:dyDescent="0.25">
      <c r="A721" s="562" t="s">
        <v>910</v>
      </c>
      <c r="B721" s="563">
        <v>8.9600000000000009</v>
      </c>
      <c r="C721" s="564">
        <v>7619.94</v>
      </c>
      <c r="D721" s="560">
        <f t="shared" si="22"/>
        <v>-1.1160714285716028E-3</v>
      </c>
      <c r="E721" s="560">
        <f t="shared" si="23"/>
        <v>2.7743000601055034E-3</v>
      </c>
    </row>
    <row r="722" spans="1:5" x14ac:dyDescent="0.25">
      <c r="A722" s="562" t="s">
        <v>911</v>
      </c>
      <c r="B722" s="563">
        <v>8.6300000000000008</v>
      </c>
      <c r="C722" s="564">
        <v>7488.76</v>
      </c>
      <c r="D722" s="560">
        <f t="shared" si="22"/>
        <v>3.8238702201622253E-2</v>
      </c>
      <c r="E722" s="560">
        <f t="shared" si="23"/>
        <v>1.7516918688808211E-2</v>
      </c>
    </row>
    <row r="723" spans="1:5" x14ac:dyDescent="0.25">
      <c r="A723" s="562" t="s">
        <v>912</v>
      </c>
      <c r="B723" s="563">
        <v>8.75</v>
      </c>
      <c r="C723" s="564">
        <v>7472.63</v>
      </c>
      <c r="D723" s="560">
        <f t="shared" si="22"/>
        <v>-1.3714285714285625E-2</v>
      </c>
      <c r="E723" s="560">
        <f t="shared" si="23"/>
        <v>2.1585439129195622E-3</v>
      </c>
    </row>
    <row r="724" spans="1:5" x14ac:dyDescent="0.25">
      <c r="A724" s="562" t="s">
        <v>913</v>
      </c>
      <c r="B724" s="563">
        <v>8.8699999999999992</v>
      </c>
      <c r="C724" s="564">
        <v>7617.51</v>
      </c>
      <c r="D724" s="560">
        <f t="shared" si="22"/>
        <v>-1.3528748590755268E-2</v>
      </c>
      <c r="E724" s="560">
        <f t="shared" si="23"/>
        <v>-1.9019338340218798E-2</v>
      </c>
    </row>
    <row r="725" spans="1:5" x14ac:dyDescent="0.25">
      <c r="A725" s="562" t="s">
        <v>914</v>
      </c>
      <c r="B725" s="563">
        <v>8.7899999999999991</v>
      </c>
      <c r="C725" s="564">
        <v>7623.24</v>
      </c>
      <c r="D725" s="560">
        <f t="shared" si="22"/>
        <v>9.1012514220705429E-3</v>
      </c>
      <c r="E725" s="560">
        <f t="shared" si="23"/>
        <v>-7.5164890518986203E-4</v>
      </c>
    </row>
    <row r="726" spans="1:5" x14ac:dyDescent="0.25">
      <c r="A726" s="562" t="s">
        <v>915</v>
      </c>
      <c r="B726" s="563">
        <v>8.59</v>
      </c>
      <c r="C726" s="564">
        <v>7723.24</v>
      </c>
      <c r="D726" s="560">
        <f t="shared" si="22"/>
        <v>2.328288707799759E-2</v>
      </c>
      <c r="E726" s="560">
        <f t="shared" si="23"/>
        <v>-1.2947933768729186E-2</v>
      </c>
    </row>
    <row r="727" spans="1:5" x14ac:dyDescent="0.25">
      <c r="A727" s="562" t="s">
        <v>916</v>
      </c>
      <c r="B727" s="563">
        <v>8.6300000000000008</v>
      </c>
      <c r="C727" s="564">
        <v>7747.46</v>
      </c>
      <c r="D727" s="560">
        <f t="shared" si="22"/>
        <v>-4.6349942062573488E-3</v>
      </c>
      <c r="E727" s="560">
        <f t="shared" si="23"/>
        <v>-3.1261858725311594E-3</v>
      </c>
    </row>
    <row r="728" spans="1:5" x14ac:dyDescent="0.25">
      <c r="A728" s="562" t="s">
        <v>917</v>
      </c>
      <c r="B728" s="563">
        <v>8.7899999999999991</v>
      </c>
      <c r="C728" s="564">
        <v>7702.31</v>
      </c>
      <c r="D728" s="560">
        <f t="shared" si="22"/>
        <v>-1.8202502844140885E-2</v>
      </c>
      <c r="E728" s="560">
        <f t="shared" si="23"/>
        <v>5.8618778002962274E-3</v>
      </c>
    </row>
    <row r="729" spans="1:5" x14ac:dyDescent="0.25">
      <c r="A729" s="562" t="s">
        <v>918</v>
      </c>
      <c r="B729" s="563">
        <v>9.11</v>
      </c>
      <c r="C729" s="564">
        <v>7782.2</v>
      </c>
      <c r="D729" s="560">
        <f t="shared" si="22"/>
        <v>-3.5126234906695974E-2</v>
      </c>
      <c r="E729" s="560">
        <f t="shared" si="23"/>
        <v>-1.0265734625170185E-2</v>
      </c>
    </row>
    <row r="730" spans="1:5" x14ac:dyDescent="0.25">
      <c r="A730" s="562" t="s">
        <v>919</v>
      </c>
      <c r="B730" s="563">
        <v>9.39</v>
      </c>
      <c r="C730" s="564">
        <v>7800.66</v>
      </c>
      <c r="D730" s="560">
        <f t="shared" si="22"/>
        <v>-2.9818956336528341E-2</v>
      </c>
      <c r="E730" s="560">
        <f t="shared" si="23"/>
        <v>-2.3664664271997545E-3</v>
      </c>
    </row>
    <row r="731" spans="1:5" ht="15.75" thickBot="1" x14ac:dyDescent="0.3">
      <c r="A731" s="578" t="s">
        <v>920</v>
      </c>
      <c r="B731" s="579">
        <v>9.4700000000000006</v>
      </c>
      <c r="C731" s="580">
        <v>7782.43</v>
      </c>
      <c r="D731" s="560">
        <f t="shared" si="22"/>
        <v>-8.4477296726504815E-3</v>
      </c>
      <c r="E731" s="577">
        <f t="shared" si="23"/>
        <v>2.3424560195208391E-3</v>
      </c>
    </row>
    <row r="732" spans="1:5" ht="15.75" thickTop="1" x14ac:dyDescent="0.25">
      <c r="D732" s="584"/>
    </row>
  </sheetData>
  <pageMargins left="0.7" right="0.7" top="0.75" bottom="0.75" header="0.3" footer="0.3"/>
  <pageSetup orientation="portrait" r:id="rId1"/>
  <ignoredErrors>
    <ignoredError sqref="I15:K1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20"/>
  <sheetViews>
    <sheetView topLeftCell="A3" workbookViewId="0">
      <selection activeCell="L18" sqref="L18"/>
    </sheetView>
  </sheetViews>
  <sheetFormatPr defaultRowHeight="15" x14ac:dyDescent="0.25"/>
  <cols>
    <col min="2" max="5" width="13.5703125" customWidth="1"/>
    <col min="6" max="6" width="11.5703125" customWidth="1"/>
    <col min="7" max="7" width="8.85546875" customWidth="1"/>
  </cols>
  <sheetData>
    <row r="1" spans="2:16" ht="22.5" customHeight="1" thickTop="1" x14ac:dyDescent="0.25">
      <c r="B1" s="692" t="s">
        <v>921</v>
      </c>
      <c r="C1" s="693"/>
      <c r="D1" s="693"/>
      <c r="E1" s="693"/>
      <c r="F1" s="693"/>
      <c r="G1" s="694"/>
      <c r="H1" s="432"/>
    </row>
    <row r="2" spans="2:16" ht="22.5" customHeight="1" thickBot="1" x14ac:dyDescent="0.3">
      <c r="B2" s="695"/>
      <c r="C2" s="696"/>
      <c r="D2" s="696"/>
      <c r="E2" s="696"/>
      <c r="F2" s="696"/>
      <c r="G2" s="697"/>
      <c r="H2" s="432"/>
    </row>
    <row r="3" spans="2:16" ht="20.25" customHeight="1" thickTop="1" thickBot="1" x14ac:dyDescent="0.3">
      <c r="B3" s="698" t="s">
        <v>922</v>
      </c>
      <c r="C3" s="711"/>
      <c r="D3" s="711"/>
      <c r="E3" s="712"/>
      <c r="F3" s="722">
        <v>17.12</v>
      </c>
      <c r="G3" s="723"/>
      <c r="H3" s="432"/>
    </row>
    <row r="4" spans="2:16" ht="20.25" customHeight="1" thickTop="1" thickBot="1" x14ac:dyDescent="0.3">
      <c r="B4" s="698" t="s">
        <v>923</v>
      </c>
      <c r="C4" s="711"/>
      <c r="D4" s="711"/>
      <c r="E4" s="712"/>
      <c r="F4" s="724">
        <f>'INCOME STATEMENT'!Q35</f>
        <v>74800000</v>
      </c>
      <c r="G4" s="725"/>
      <c r="H4" s="432"/>
      <c r="J4" s="717" t="s">
        <v>924</v>
      </c>
      <c r="K4" s="718"/>
      <c r="L4" s="718"/>
      <c r="M4" s="718"/>
      <c r="N4" s="718"/>
      <c r="O4" s="718"/>
      <c r="P4" s="432"/>
    </row>
    <row r="5" spans="2:16" ht="20.25" thickTop="1" thickBot="1" x14ac:dyDescent="0.3">
      <c r="B5" s="698" t="s">
        <v>925</v>
      </c>
      <c r="C5" s="711"/>
      <c r="D5" s="711"/>
      <c r="E5" s="712"/>
      <c r="F5" s="709">
        <f>F3*F4</f>
        <v>1280576000</v>
      </c>
      <c r="G5" s="721"/>
      <c r="H5" s="432"/>
      <c r="J5" s="719"/>
      <c r="K5" s="720"/>
      <c r="L5" s="720"/>
      <c r="M5" s="720"/>
      <c r="N5" s="720"/>
      <c r="O5" s="720"/>
      <c r="P5" s="432"/>
    </row>
    <row r="6" spans="2:16" ht="20.25" thickTop="1" thickBot="1" x14ac:dyDescent="0.3">
      <c r="B6" s="698" t="s">
        <v>926</v>
      </c>
      <c r="C6" s="711"/>
      <c r="D6" s="711"/>
      <c r="E6" s="712"/>
      <c r="F6" s="709">
        <f>('BALANCE SHEET'!L47+'BALANCE SHEET'!L53)*1000</f>
        <v>1988746000</v>
      </c>
      <c r="G6" s="721"/>
      <c r="H6" s="432"/>
      <c r="J6" s="433"/>
    </row>
    <row r="7" spans="2:16" ht="20.25" thickTop="1" thickBot="1" x14ac:dyDescent="0.3">
      <c r="B7" s="698" t="s">
        <v>927</v>
      </c>
      <c r="C7" s="711"/>
      <c r="D7" s="711"/>
      <c r="E7" s="712"/>
      <c r="F7" s="709">
        <f>F5+F6</f>
        <v>3269322000</v>
      </c>
      <c r="G7" s="713"/>
      <c r="H7" s="432"/>
      <c r="J7" s="703" t="s">
        <v>928</v>
      </c>
      <c r="K7" s="704"/>
      <c r="L7" s="704"/>
      <c r="M7" s="704"/>
      <c r="N7" s="704"/>
      <c r="O7" s="705"/>
      <c r="P7" s="432"/>
    </row>
    <row r="8" spans="2:16" ht="20.25" customHeight="1" thickTop="1" thickBot="1" x14ac:dyDescent="0.3">
      <c r="B8" s="698" t="s">
        <v>929</v>
      </c>
      <c r="C8" s="711"/>
      <c r="D8" s="711"/>
      <c r="E8" s="712"/>
      <c r="F8" s="714">
        <f>F5/F7</f>
        <v>0.39169466941463704</v>
      </c>
      <c r="G8" s="715"/>
      <c r="H8" s="432"/>
      <c r="J8" s="706" t="s">
        <v>930</v>
      </c>
      <c r="K8" s="707"/>
      <c r="L8" s="707"/>
      <c r="M8" s="707"/>
      <c r="N8" s="707"/>
      <c r="O8" s="708"/>
      <c r="P8" s="432"/>
    </row>
    <row r="9" spans="2:16" ht="20.25" customHeight="1" thickTop="1" thickBot="1" x14ac:dyDescent="0.3">
      <c r="B9" s="698" t="s">
        <v>931</v>
      </c>
      <c r="C9" s="711"/>
      <c r="D9" s="711"/>
      <c r="E9" s="712"/>
      <c r="F9" s="714">
        <f>F6/F7</f>
        <v>0.60830533058536296</v>
      </c>
      <c r="G9" s="716"/>
      <c r="H9" s="432"/>
    </row>
    <row r="10" spans="2:16" ht="20.25" customHeight="1" thickTop="1" thickBot="1" x14ac:dyDescent="0.3">
      <c r="B10" s="698" t="s">
        <v>932</v>
      </c>
      <c r="C10" s="699"/>
      <c r="D10" s="699"/>
      <c r="E10" s="700"/>
      <c r="F10" s="701">
        <f>('STOCK RETURNS &amp; BETA'!C2-'STOCK RETURNS &amp; BETA'!C189)/'STOCK RETURNS &amp; BETA'!C189</f>
        <v>0.11460019161238223</v>
      </c>
      <c r="G10" s="702"/>
      <c r="H10" s="432"/>
    </row>
    <row r="11" spans="2:16" ht="20.25" customHeight="1" thickTop="1" thickBot="1" x14ac:dyDescent="0.3">
      <c r="B11" s="698" t="s">
        <v>933</v>
      </c>
      <c r="C11" s="711"/>
      <c r="D11" s="711"/>
      <c r="E11" s="712"/>
      <c r="F11" s="714">
        <v>3.04E-2</v>
      </c>
      <c r="G11" s="716"/>
      <c r="H11" s="432"/>
    </row>
    <row r="12" spans="2:16" ht="20.25" thickTop="1" thickBot="1" x14ac:dyDescent="0.3">
      <c r="B12" s="698" t="s">
        <v>934</v>
      </c>
      <c r="C12" s="711"/>
      <c r="D12" s="711"/>
      <c r="E12" s="712"/>
      <c r="F12" s="714">
        <f>F10-F11</f>
        <v>8.4200191612382236E-2</v>
      </c>
      <c r="G12" s="730"/>
      <c r="H12" s="432"/>
    </row>
    <row r="13" spans="2:16" ht="20.25" customHeight="1" thickTop="1" thickBot="1" x14ac:dyDescent="0.3">
      <c r="B13" s="698" t="s">
        <v>935</v>
      </c>
      <c r="C13" s="711"/>
      <c r="D13" s="711"/>
      <c r="E13" s="712"/>
      <c r="F13" s="728">
        <f>'STOCK RETURNS &amp; BETA'!I10</f>
        <v>0.65975969192717043</v>
      </c>
      <c r="G13" s="729"/>
      <c r="H13" s="432"/>
    </row>
    <row r="14" spans="2:16" ht="19.5" customHeight="1" thickTop="1" thickBot="1" x14ac:dyDescent="0.3">
      <c r="B14" s="698" t="s">
        <v>936</v>
      </c>
      <c r="C14" s="711"/>
      <c r="D14" s="711"/>
      <c r="E14" s="712"/>
      <c r="F14" s="714">
        <f>F11+F13*F12</f>
        <v>8.5951892478394021E-2</v>
      </c>
      <c r="G14" s="730"/>
      <c r="H14" s="432"/>
    </row>
    <row r="15" spans="2:16" ht="20.25" customHeight="1" thickTop="1" thickBot="1" x14ac:dyDescent="0.3">
      <c r="B15" s="698" t="s">
        <v>937</v>
      </c>
      <c r="C15" s="711"/>
      <c r="D15" s="711"/>
      <c r="E15" s="712"/>
      <c r="F15" s="709">
        <f>-'INCOME STATEMENT'!Q26*1000</f>
        <v>56923000</v>
      </c>
      <c r="G15" s="710"/>
      <c r="H15" s="432"/>
    </row>
    <row r="16" spans="2:16" ht="20.25" customHeight="1" thickTop="1" thickBot="1" x14ac:dyDescent="0.3">
      <c r="B16" s="698" t="s">
        <v>938</v>
      </c>
      <c r="C16" s="711"/>
      <c r="D16" s="711"/>
      <c r="E16" s="712"/>
      <c r="F16" s="709">
        <f>(('BALANCE SHEET'!J47+'BALANCE SHEET'!J53)+('BALANCE SHEET'!L47+'BALANCE SHEET'!L53))*1000/2</f>
        <v>1889814000</v>
      </c>
      <c r="G16" s="710"/>
      <c r="H16" s="432"/>
    </row>
    <row r="17" spans="2:11" ht="20.25" customHeight="1" thickTop="1" thickBot="1" x14ac:dyDescent="0.3">
      <c r="B17" s="698" t="s">
        <v>939</v>
      </c>
      <c r="C17" s="711"/>
      <c r="D17" s="711"/>
      <c r="E17" s="712"/>
      <c r="F17" s="714">
        <f>F15/F16</f>
        <v>3.0120953702322026E-2</v>
      </c>
      <c r="G17" s="731"/>
      <c r="H17" s="432"/>
    </row>
    <row r="18" spans="2:11" ht="20.25" thickTop="1" thickBot="1" x14ac:dyDescent="0.3">
      <c r="B18" s="698" t="s">
        <v>940</v>
      </c>
      <c r="C18" s="711"/>
      <c r="D18" s="711"/>
      <c r="E18" s="711"/>
      <c r="F18" s="726">
        <f>F14*F8+F17*F9</f>
        <v>5.1989634809324392E-2</v>
      </c>
      <c r="G18" s="727"/>
      <c r="H18" s="689" t="s">
        <v>941</v>
      </c>
      <c r="I18" s="690"/>
      <c r="J18" s="690"/>
      <c r="K18" s="690"/>
    </row>
    <row r="19" spans="2:11" ht="15.75" thickTop="1" x14ac:dyDescent="0.25">
      <c r="B19" s="584"/>
      <c r="C19" s="584"/>
      <c r="D19" s="584"/>
      <c r="E19" s="584"/>
    </row>
    <row r="20" spans="2:11" ht="15.75" x14ac:dyDescent="0.25">
      <c r="B20" s="691" t="s">
        <v>942</v>
      </c>
      <c r="C20" s="691"/>
      <c r="D20" s="691"/>
      <c r="E20" s="576"/>
    </row>
  </sheetData>
  <mergeCells count="38">
    <mergeCell ref="B18:E18"/>
    <mergeCell ref="F18:G18"/>
    <mergeCell ref="B11:E11"/>
    <mergeCell ref="B12:E12"/>
    <mergeCell ref="B14:E14"/>
    <mergeCell ref="B13:E13"/>
    <mergeCell ref="F11:G11"/>
    <mergeCell ref="F13:G13"/>
    <mergeCell ref="F12:G12"/>
    <mergeCell ref="F14:G14"/>
    <mergeCell ref="B15:E15"/>
    <mergeCell ref="B17:E17"/>
    <mergeCell ref="F17:G17"/>
    <mergeCell ref="J4:O5"/>
    <mergeCell ref="F5:G5"/>
    <mergeCell ref="F6:G6"/>
    <mergeCell ref="B3:E3"/>
    <mergeCell ref="F3:G3"/>
    <mergeCell ref="F4:G4"/>
    <mergeCell ref="B6:E6"/>
    <mergeCell ref="B4:E4"/>
    <mergeCell ref="B5:E5"/>
    <mergeCell ref="H18:K18"/>
    <mergeCell ref="B20:D20"/>
    <mergeCell ref="B1:G2"/>
    <mergeCell ref="B10:E10"/>
    <mergeCell ref="F10:G10"/>
    <mergeCell ref="J7:O7"/>
    <mergeCell ref="J8:O8"/>
    <mergeCell ref="F16:G16"/>
    <mergeCell ref="B7:E7"/>
    <mergeCell ref="F7:G7"/>
    <mergeCell ref="B8:E8"/>
    <mergeCell ref="B9:E9"/>
    <mergeCell ref="F8:G8"/>
    <mergeCell ref="F9:G9"/>
    <mergeCell ref="B16:E16"/>
    <mergeCell ref="F15:G1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42"/>
  <sheetViews>
    <sheetView zoomScale="75" zoomScaleNormal="75" workbookViewId="0">
      <selection activeCell="T28" sqref="T28"/>
    </sheetView>
  </sheetViews>
  <sheetFormatPr defaultRowHeight="15" x14ac:dyDescent="0.25"/>
  <cols>
    <col min="1" max="1" width="5.7109375" customWidth="1"/>
    <col min="4" max="4" width="26.7109375" customWidth="1"/>
    <col min="5" max="9" width="11.7109375" customWidth="1"/>
    <col min="10" max="11" width="10.7109375" customWidth="1"/>
    <col min="12" max="16" width="11.7109375" customWidth="1"/>
    <col min="17" max="17" width="13.85546875" customWidth="1"/>
    <col min="18" max="20" width="11.7109375" customWidth="1"/>
    <col min="21" max="22" width="12.85546875" customWidth="1"/>
  </cols>
  <sheetData>
    <row r="1" spans="1:24" ht="15.75" customHeight="1" thickTop="1" x14ac:dyDescent="0.25">
      <c r="N1" s="732" t="s">
        <v>943</v>
      </c>
      <c r="O1" s="733"/>
      <c r="P1" s="734"/>
      <c r="Q1" s="432"/>
    </row>
    <row r="2" spans="1:24" ht="16.5" customHeight="1" thickBot="1" x14ac:dyDescent="0.3">
      <c r="N2" s="735"/>
      <c r="O2" s="736"/>
      <c r="P2" s="737"/>
      <c r="Q2" s="487"/>
    </row>
    <row r="3" spans="1:24" ht="15" customHeight="1" thickTop="1" x14ac:dyDescent="0.25">
      <c r="E3" s="741" t="s">
        <v>944</v>
      </c>
      <c r="F3" s="693"/>
      <c r="G3" s="693"/>
      <c r="H3" s="693"/>
      <c r="I3" s="693"/>
      <c r="J3" s="693"/>
      <c r="K3" s="694"/>
      <c r="L3" s="741" t="s">
        <v>945</v>
      </c>
      <c r="M3" s="693"/>
      <c r="N3" s="693"/>
      <c r="O3" s="693"/>
      <c r="P3" s="693"/>
      <c r="Q3" s="693"/>
      <c r="R3" s="694"/>
      <c r="S3" s="767" t="s">
        <v>946</v>
      </c>
      <c r="T3" s="768"/>
    </row>
    <row r="4" spans="1:24" ht="15" customHeight="1" thickBot="1" x14ac:dyDescent="0.3">
      <c r="E4" s="695"/>
      <c r="F4" s="696"/>
      <c r="G4" s="696"/>
      <c r="H4" s="696"/>
      <c r="I4" s="696"/>
      <c r="J4" s="696"/>
      <c r="K4" s="697"/>
      <c r="L4" s="695"/>
      <c r="M4" s="696"/>
      <c r="N4" s="696"/>
      <c r="O4" s="696"/>
      <c r="P4" s="696"/>
      <c r="Q4" s="696"/>
      <c r="R4" s="697"/>
      <c r="S4" s="769"/>
      <c r="T4" s="770"/>
      <c r="U4" s="501"/>
      <c r="V4" s="501"/>
    </row>
    <row r="5" spans="1:24" ht="15.75" customHeight="1" thickTop="1" x14ac:dyDescent="0.25">
      <c r="A5" s="434"/>
      <c r="B5" s="747" t="s">
        <v>947</v>
      </c>
      <c r="C5" s="748"/>
      <c r="D5" s="749"/>
      <c r="E5" s="747">
        <v>2008</v>
      </c>
      <c r="F5" s="747">
        <v>2009</v>
      </c>
      <c r="G5" s="742">
        <v>2010</v>
      </c>
      <c r="H5" s="742">
        <v>2011</v>
      </c>
      <c r="I5" s="749">
        <v>2012</v>
      </c>
      <c r="J5" s="774" t="s">
        <v>948</v>
      </c>
      <c r="K5" s="744" t="s">
        <v>949</v>
      </c>
      <c r="L5" s="742">
        <v>2008</v>
      </c>
      <c r="M5" s="742">
        <v>2009</v>
      </c>
      <c r="N5" s="742">
        <v>2010</v>
      </c>
      <c r="O5" s="742">
        <v>2011</v>
      </c>
      <c r="P5" s="742">
        <v>2012</v>
      </c>
      <c r="Q5" s="744" t="s">
        <v>950</v>
      </c>
      <c r="R5" s="744" t="s">
        <v>951</v>
      </c>
      <c r="S5" s="744" t="s">
        <v>951</v>
      </c>
      <c r="T5" s="744" t="s">
        <v>949</v>
      </c>
      <c r="U5" s="744" t="s">
        <v>952</v>
      </c>
      <c r="V5" s="756" t="s">
        <v>953</v>
      </c>
    </row>
    <row r="6" spans="1:24" ht="31.5" customHeight="1" thickBot="1" x14ac:dyDescent="0.3">
      <c r="A6" s="434"/>
      <c r="B6" s="750"/>
      <c r="C6" s="751"/>
      <c r="D6" s="752"/>
      <c r="E6" s="750"/>
      <c r="F6" s="750"/>
      <c r="G6" s="743"/>
      <c r="H6" s="743"/>
      <c r="I6" s="752"/>
      <c r="J6" s="775"/>
      <c r="K6" s="746"/>
      <c r="L6" s="743"/>
      <c r="M6" s="743"/>
      <c r="N6" s="743"/>
      <c r="O6" s="743"/>
      <c r="P6" s="743"/>
      <c r="Q6" s="745"/>
      <c r="R6" s="745"/>
      <c r="S6" s="745"/>
      <c r="T6" s="745"/>
      <c r="U6" s="745"/>
      <c r="V6" s="757"/>
    </row>
    <row r="7" spans="1:24" ht="17.25" thickTop="1" thickBot="1" x14ac:dyDescent="0.3">
      <c r="A7" s="515" t="s">
        <v>954</v>
      </c>
      <c r="B7" s="753" t="s">
        <v>955</v>
      </c>
      <c r="C7" s="754"/>
      <c r="D7" s="755"/>
      <c r="E7" s="473">
        <f>E8/E9</f>
        <v>-0.11340378781273967</v>
      </c>
      <c r="F7" s="474">
        <f>F8/F9</f>
        <v>-0.13637279277830017</v>
      </c>
      <c r="G7" s="474">
        <f>G8/G9</f>
        <v>-0.1328537166176027</v>
      </c>
      <c r="H7" s="474">
        <f>H8/H9</f>
        <v>-0.11874005930671536</v>
      </c>
      <c r="I7" s="473">
        <f>I8/I9</f>
        <v>-0.11050950982735676</v>
      </c>
      <c r="J7" s="517">
        <f>AVERAGE(E7:I7)</f>
        <v>-0.12237597326854292</v>
      </c>
      <c r="K7" s="516">
        <f>AVERAGE(H7:I7)</f>
        <v>-0.11462478456703606</v>
      </c>
      <c r="L7" s="477">
        <f>5%</f>
        <v>0.05</v>
      </c>
      <c r="M7" s="497">
        <f>-4%</f>
        <v>-0.04</v>
      </c>
      <c r="N7" s="492">
        <f>18%</f>
        <v>0.18</v>
      </c>
      <c r="O7" s="492">
        <f>2%</f>
        <v>0.02</v>
      </c>
      <c r="P7" s="477">
        <f>0%</f>
        <v>0</v>
      </c>
      <c r="Q7" s="541">
        <f>AVERAGE(L7:P7)</f>
        <v>4.1999999999999996E-2</v>
      </c>
      <c r="R7" s="534">
        <f>AVERAGE(O7:P7)</f>
        <v>0.01</v>
      </c>
      <c r="S7" s="651">
        <v>2</v>
      </c>
      <c r="T7" s="651" t="s">
        <v>956</v>
      </c>
      <c r="U7" s="548">
        <f>Q7-J7</f>
        <v>0.16437597326854292</v>
      </c>
      <c r="V7" s="520">
        <f>R7-K7</f>
        <v>0.12462478456703606</v>
      </c>
      <c r="X7" s="1">
        <f>R7-K7</f>
        <v>0.12462478456703606</v>
      </c>
    </row>
    <row r="8" spans="1:24" ht="16.5" thickTop="1" thickBot="1" x14ac:dyDescent="0.3">
      <c r="A8" s="498"/>
      <c r="B8" s="738" t="s">
        <v>957</v>
      </c>
      <c r="C8" s="739"/>
      <c r="D8" s="740"/>
      <c r="E8" s="468">
        <f>'INCOME STATEMENT'!B22</f>
        <v>179503</v>
      </c>
      <c r="F8" s="470">
        <f>'INCOME STATEMENT'!E22</f>
        <v>191587</v>
      </c>
      <c r="G8" s="470">
        <f>'INCOME STATEMENT'!H22</f>
        <v>155877</v>
      </c>
      <c r="H8" s="470">
        <f>'INCOME STATEMENT'!K22</f>
        <v>170662</v>
      </c>
      <c r="I8" s="468">
        <f>'INCOME STATEMENT'!N22</f>
        <v>154873</v>
      </c>
      <c r="J8" s="511"/>
      <c r="K8" s="510"/>
      <c r="L8" s="467"/>
      <c r="M8" s="505"/>
      <c r="N8" s="486"/>
      <c r="O8" s="467"/>
      <c r="P8" s="467"/>
      <c r="Q8" s="467"/>
      <c r="R8" s="467"/>
      <c r="S8" s="652"/>
      <c r="T8" s="467"/>
      <c r="U8" s="505"/>
      <c r="V8" s="505"/>
    </row>
    <row r="9" spans="1:24" ht="16.5" thickTop="1" thickBot="1" x14ac:dyDescent="0.3">
      <c r="A9" s="499"/>
      <c r="B9" s="738" t="s">
        <v>958</v>
      </c>
      <c r="C9" s="739"/>
      <c r="D9" s="740"/>
      <c r="E9" s="471">
        <f>'BALANCE SHEET'!B18-'BALANCE SHEET'!B47+'BALANCE SHEET'!B32-'BALANCE SHEET'!B53</f>
        <v>-1582866</v>
      </c>
      <c r="F9" s="472">
        <f>'BALANCE SHEET'!D18-'BALANCE SHEET'!D47+'BALANCE SHEET'!D32-'BALANCE SHEET'!D53</f>
        <v>-1404877</v>
      </c>
      <c r="G9" s="472">
        <f>'BALANCE SHEET'!F18-'BALANCE SHEET'!F47+'BALANCE SHEET'!F32-'BALANCE SHEET'!F53</f>
        <v>-1173298</v>
      </c>
      <c r="H9" s="472">
        <f>'BALANCE SHEET'!H18-'BALANCE SHEET'!H47+'BALANCE SHEET'!H32-'BALANCE SHEET'!H53</f>
        <v>-1437274</v>
      </c>
      <c r="I9" s="471">
        <f>'BALANCE SHEET'!J18-'BALANCE SHEET'!J47+'BALANCE SHEET'!J32-'BALANCE SHEET'!J53</f>
        <v>-1401445</v>
      </c>
      <c r="J9" s="512"/>
      <c r="K9" s="513"/>
      <c r="L9" s="504"/>
      <c r="M9" s="501"/>
      <c r="N9" s="504"/>
      <c r="O9" s="504"/>
      <c r="P9" s="504"/>
      <c r="Q9" s="504"/>
      <c r="R9" s="504"/>
      <c r="S9" s="653"/>
      <c r="T9" s="504"/>
      <c r="U9" s="502"/>
      <c r="V9" s="499"/>
    </row>
    <row r="10" spans="1:24" ht="17.25" thickTop="1" thickBot="1" x14ac:dyDescent="0.3">
      <c r="A10" s="515" t="s">
        <v>959</v>
      </c>
      <c r="B10" s="761" t="s">
        <v>960</v>
      </c>
      <c r="C10" s="762"/>
      <c r="D10" s="763"/>
      <c r="E10" s="473">
        <f>'FINANCIAL RATIOS'!B3/'INCOME STATEMENT'!B5</f>
        <v>-0.38944477281469597</v>
      </c>
      <c r="F10" s="474">
        <f>'FINANCIAL RATIOS'!C3/'INCOME STATEMENT'!E5</f>
        <v>-0.33746646363570443</v>
      </c>
      <c r="G10" s="476">
        <f>'FINANCIAL RATIOS'!D3/'INCOME STATEMENT'!H5</f>
        <v>7.4823517418894467E-2</v>
      </c>
      <c r="H10" s="474">
        <f>'FINANCIAL RATIOS'!E3/'INCOME STATEMENT'!K5</f>
        <v>-0.22958747105232169</v>
      </c>
      <c r="I10" s="477">
        <f>'FINANCIAL RATIOS'!F3/'INCOME STATEMENT'!N5</f>
        <v>0.13081016690189173</v>
      </c>
      <c r="J10" s="521">
        <f>AVERAGE(E10:I10)</f>
        <v>-0.15017300463638719</v>
      </c>
      <c r="K10" s="528">
        <f>AVERAGE(H10:I10)</f>
        <v>-4.9388652075214978E-2</v>
      </c>
      <c r="L10" s="477">
        <v>0</v>
      </c>
      <c r="M10" s="473">
        <v>-0.08</v>
      </c>
      <c r="N10" s="473">
        <v>-0.09</v>
      </c>
      <c r="O10" s="473">
        <v>-0.1</v>
      </c>
      <c r="P10" s="473">
        <v>-0.1</v>
      </c>
      <c r="Q10" s="542">
        <f>AVERAGE(L10:P10)</f>
        <v>-7.3999999999999996E-2</v>
      </c>
      <c r="R10" s="535">
        <f>AVERAGE(O10:P10)</f>
        <v>-0.1</v>
      </c>
      <c r="S10" s="654">
        <v>9</v>
      </c>
      <c r="T10" s="658">
        <f>K10*S10/R10</f>
        <v>4.4449786867693479</v>
      </c>
      <c r="U10" s="549">
        <f t="shared" ref="U10:V13" si="0">Q10-J10</f>
        <v>7.6173004636387195E-2</v>
      </c>
      <c r="V10" s="520">
        <f t="shared" si="0"/>
        <v>-5.0611347924785027E-2</v>
      </c>
      <c r="X10" s="1">
        <f>R10-K10</f>
        <v>-5.0611347924785027E-2</v>
      </c>
    </row>
    <row r="11" spans="1:24" ht="17.25" thickTop="1" thickBot="1" x14ac:dyDescent="0.3">
      <c r="A11" s="515" t="s">
        <v>961</v>
      </c>
      <c r="B11" s="764" t="s">
        <v>962</v>
      </c>
      <c r="C11" s="765"/>
      <c r="D11" s="766"/>
      <c r="E11" s="477">
        <f>'BALANCE SHEET'!B23/'INCOME STATEMENT'!B5</f>
        <v>3.6874009025490913</v>
      </c>
      <c r="F11" s="478">
        <f>'BALANCE SHEET'!D23/'INCOME STATEMENT'!E5</f>
        <v>3.9008423784627158</v>
      </c>
      <c r="G11" s="477">
        <f>'BALANCE SHEET'!F23/'INCOME STATEMENT'!H5</f>
        <v>4.3478285492607975</v>
      </c>
      <c r="H11" s="478">
        <f>'BALANCE SHEET'!H23/'INCOME STATEMENT'!K5</f>
        <v>4.6244586620612056</v>
      </c>
      <c r="I11" s="479">
        <f>'BALANCE SHEET'!J23/'INCOME STATEMENT'!N5</f>
        <v>4.9770092320441277</v>
      </c>
      <c r="J11" s="522">
        <f>AVERAGE(E11:I11)</f>
        <v>4.3075079448755877</v>
      </c>
      <c r="K11" s="529">
        <f>AVERAGE(H11:I11)</f>
        <v>4.8007339470526667</v>
      </c>
      <c r="L11" s="491">
        <v>2.15</v>
      </c>
      <c r="M11" s="491">
        <v>2.84</v>
      </c>
      <c r="N11" s="491">
        <v>2.56</v>
      </c>
      <c r="O11" s="491">
        <v>2.59</v>
      </c>
      <c r="P11" s="491">
        <v>3.09</v>
      </c>
      <c r="Q11" s="543">
        <f>AVERAGE(L11:P11)</f>
        <v>2.6459999999999999</v>
      </c>
      <c r="R11" s="536">
        <f>AVERAGE(O11:P11)</f>
        <v>2.84</v>
      </c>
      <c r="S11" s="655">
        <v>2</v>
      </c>
      <c r="T11" s="659">
        <f>K11*S11/R11</f>
        <v>3.3807985542624417</v>
      </c>
      <c r="U11" s="549">
        <f t="shared" si="0"/>
        <v>-1.6615079448755878</v>
      </c>
      <c r="V11" s="520">
        <f t="shared" si="0"/>
        <v>-1.9607339470526668</v>
      </c>
      <c r="X11" s="1">
        <f>K11-R11</f>
        <v>1.9607339470526668</v>
      </c>
    </row>
    <row r="12" spans="1:24" ht="17.25" thickTop="1" thickBot="1" x14ac:dyDescent="0.3">
      <c r="A12" s="515" t="s">
        <v>963</v>
      </c>
      <c r="B12" s="753" t="s">
        <v>964</v>
      </c>
      <c r="C12" s="754"/>
      <c r="D12" s="755"/>
      <c r="E12" s="477">
        <f>'INCOME STATEMENT'!B22/'INCOME STATEMENT'!B5</f>
        <v>0.4210246090048505</v>
      </c>
      <c r="F12" s="477">
        <f>'INCOME STATEMENT'!E22/'INCOME STATEMENT'!E5</f>
        <v>0.47904055368443688</v>
      </c>
      <c r="G12" s="477">
        <f>'INCOME STATEMENT'!H22/'INCOME STATEMENT'!H5</f>
        <v>0.44138909418350791</v>
      </c>
      <c r="H12" s="477">
        <f>'INCOME STATEMENT'!K22/'INCOME STATEMENT'!K5</f>
        <v>0.44657795920503462</v>
      </c>
      <c r="I12" s="477">
        <f>'INCOME STATEMENT'!N22/'INCOME STATEMENT'!N5</f>
        <v>0.4010643394491849</v>
      </c>
      <c r="J12" s="523">
        <f>AVERAGE(E12:I12)</f>
        <v>0.43781931110540295</v>
      </c>
      <c r="K12" s="530">
        <f>AVERAGE(H12:I12)</f>
        <v>0.42382114932710979</v>
      </c>
      <c r="L12" s="491">
        <v>0.08</v>
      </c>
      <c r="M12" s="491">
        <v>0.05</v>
      </c>
      <c r="N12" s="491">
        <v>0.21</v>
      </c>
      <c r="O12" s="491">
        <v>0.15</v>
      </c>
      <c r="P12" s="491">
        <v>0.13</v>
      </c>
      <c r="Q12" s="543">
        <f>AVERAGE(L12:P12)</f>
        <v>0.124</v>
      </c>
      <c r="R12" s="536">
        <f>AVERAGE(O12:P12)</f>
        <v>0.14000000000000001</v>
      </c>
      <c r="S12" s="655">
        <v>10</v>
      </c>
      <c r="T12" s="660" t="s">
        <v>965</v>
      </c>
      <c r="U12" s="549">
        <f t="shared" si="0"/>
        <v>-0.31381931110540295</v>
      </c>
      <c r="V12" s="519">
        <f t="shared" si="0"/>
        <v>-0.28382114932710978</v>
      </c>
      <c r="X12" s="1">
        <f>K12-R12</f>
        <v>0.28382114932710978</v>
      </c>
    </row>
    <row r="13" spans="1:24" ht="17.25" thickTop="1" thickBot="1" x14ac:dyDescent="0.3">
      <c r="A13" s="515" t="s">
        <v>966</v>
      </c>
      <c r="B13" s="758" t="s">
        <v>967</v>
      </c>
      <c r="C13" s="759"/>
      <c r="D13" s="760"/>
      <c r="E13" s="480">
        <f>'INCOME STATEMENT'!B32/BENCHMARKING!E14</f>
        <v>6.530184572169799E-2</v>
      </c>
      <c r="F13" s="477">
        <f>'INCOME STATEMENT'!E32/BENCHMARKING!F14</f>
        <v>7.657287451646301E-2</v>
      </c>
      <c r="G13" s="480">
        <f>'INCOME STATEMENT'!H32/BENCHMARKING!G14</f>
        <v>4.9034242217429018E-2</v>
      </c>
      <c r="H13" s="480">
        <f>'INCOME STATEMENT'!K32/BENCHMARKING!H14</f>
        <v>4.9882798885621277E-2</v>
      </c>
      <c r="I13" s="479">
        <f>'INCOME STATEMENT'!N32/BENCHMARKING!I14</f>
        <v>3.9346280147221795E-2</v>
      </c>
      <c r="J13" s="524">
        <f>AVERAGE(E13:I13)</f>
        <v>5.6027608297686618E-2</v>
      </c>
      <c r="K13" s="531">
        <f>AVERAGE(H13:I13)</f>
        <v>4.4614539516421539E-2</v>
      </c>
      <c r="L13" s="479">
        <v>0.02</v>
      </c>
      <c r="M13" s="493">
        <v>-0.06</v>
      </c>
      <c r="N13" s="479">
        <v>0.1</v>
      </c>
      <c r="O13" s="473">
        <v>-0.01</v>
      </c>
      <c r="P13" s="493">
        <v>-0.03</v>
      </c>
      <c r="Q13" s="526">
        <f>AVERAGE(L13:P13)</f>
        <v>4.0000000000000018E-3</v>
      </c>
      <c r="R13" s="537">
        <f>AVERAGE(O13:P13)</f>
        <v>-0.02</v>
      </c>
      <c r="S13" s="656">
        <v>2</v>
      </c>
      <c r="T13" s="656" t="s">
        <v>956</v>
      </c>
      <c r="U13" s="549">
        <f t="shared" si="0"/>
        <v>-5.2027608297686614E-2</v>
      </c>
      <c r="V13" s="520">
        <f t="shared" si="0"/>
        <v>-6.4614539516421543E-2</v>
      </c>
      <c r="X13" s="1">
        <f>K13-R13</f>
        <v>6.4614539516421543E-2</v>
      </c>
    </row>
    <row r="14" spans="1:24" ht="17.25" thickTop="1" thickBot="1" x14ac:dyDescent="0.3">
      <c r="A14" s="475"/>
      <c r="B14" s="738" t="s">
        <v>968</v>
      </c>
      <c r="C14" s="739"/>
      <c r="D14" s="740"/>
      <c r="E14" s="468">
        <f>'BALANCE SHEET'!B34-'BALANCE SHEET'!B47</f>
        <v>1527966</v>
      </c>
      <c r="F14" s="509">
        <f>'BALANCE SHEET'!D34-'BALANCE SHEET'!D47</f>
        <v>1527029</v>
      </c>
      <c r="G14" s="468">
        <f>'BALANCE SHEET'!F34-'BALANCE SHEET'!F47</f>
        <v>1643994</v>
      </c>
      <c r="H14" s="468">
        <f>'BALANCE SHEET'!H34-'BALANCE SHEET'!H47</f>
        <v>1755956</v>
      </c>
      <c r="I14" s="468">
        <f>'BALANCE SHEET'!J34-'BALANCE SHEET'!J47</f>
        <v>2061923</v>
      </c>
      <c r="J14" s="484"/>
      <c r="K14" s="503"/>
      <c r="L14" s="500"/>
      <c r="M14" s="469"/>
      <c r="N14" s="437"/>
      <c r="O14" s="500"/>
      <c r="P14" s="469"/>
      <c r="Q14" s="469"/>
      <c r="R14" s="469"/>
      <c r="S14" s="657"/>
      <c r="T14" s="500"/>
      <c r="U14" s="500"/>
      <c r="V14" s="514"/>
    </row>
    <row r="15" spans="1:24" ht="17.25" thickTop="1" thickBot="1" x14ac:dyDescent="0.3">
      <c r="A15" s="515" t="s">
        <v>969</v>
      </c>
      <c r="B15" s="753" t="s">
        <v>970</v>
      </c>
      <c r="C15" s="754"/>
      <c r="D15" s="755"/>
      <c r="E15" s="481">
        <f>'FINANCIAL RATIOS'!B23</f>
        <v>-9.281767441860465</v>
      </c>
      <c r="F15" s="477">
        <f>'FINANCIAL RATIOS'!C23</f>
        <v>0.75330172269394802</v>
      </c>
      <c r="G15" s="477">
        <f>'FINANCIAL RATIOS'!D23</f>
        <v>0.22259776551739374</v>
      </c>
      <c r="H15" s="477">
        <f>'FINANCIAL RATIOS'!E23</f>
        <v>0.26544156418757159</v>
      </c>
      <c r="I15" s="477">
        <f>'FINANCIAL RATIOS'!F23</f>
        <v>0.15588181042632174</v>
      </c>
      <c r="J15" s="525">
        <f>AVERAGE(E15:I15)</f>
        <v>-1.576908915807046</v>
      </c>
      <c r="K15" s="531">
        <f>AVERAGE(H15:I15)</f>
        <v>0.21066168730694668</v>
      </c>
      <c r="L15" s="477">
        <v>0.03</v>
      </c>
      <c r="M15" s="473">
        <v>-0.09</v>
      </c>
      <c r="N15" s="477">
        <v>0.09</v>
      </c>
      <c r="O15" s="477">
        <v>0.01</v>
      </c>
      <c r="P15" s="477">
        <v>0.02</v>
      </c>
      <c r="Q15" s="544">
        <f>AVERAGE(L15:P15)</f>
        <v>1.2E-2</v>
      </c>
      <c r="R15" s="534">
        <f>AVERAGE(O15:P15)</f>
        <v>1.4999999999999999E-2</v>
      </c>
      <c r="S15" s="656">
        <v>3</v>
      </c>
      <c r="T15" s="661" t="s">
        <v>965</v>
      </c>
      <c r="U15" s="550">
        <f t="shared" ref="U15:V19" si="1">Q15-J15</f>
        <v>1.588908915807046</v>
      </c>
      <c r="V15" s="518">
        <f t="shared" si="1"/>
        <v>-0.19566168730694666</v>
      </c>
      <c r="X15" s="1">
        <f>K15-R15</f>
        <v>0.19566168730694666</v>
      </c>
    </row>
    <row r="16" spans="1:24" ht="17.25" thickTop="1" thickBot="1" x14ac:dyDescent="0.3">
      <c r="A16" s="515" t="s">
        <v>971</v>
      </c>
      <c r="B16" s="753" t="s">
        <v>972</v>
      </c>
      <c r="C16" s="754"/>
      <c r="D16" s="755"/>
      <c r="E16" s="473">
        <f>'BALANCE SHEET'!B61/'BALANCE SHEET'!B34</f>
        <v>-5.9212338198843294E-3</v>
      </c>
      <c r="F16" s="478">
        <f>'BALANCE SHEET'!D61/'BALANCE SHEET'!D34</f>
        <v>9.0757177103432146E-2</v>
      </c>
      <c r="G16" s="478">
        <f>'BALANCE SHEET'!F61/'BALANCE SHEET'!F34</f>
        <v>0.19802360259451374</v>
      </c>
      <c r="H16" s="478">
        <f>'BALANCE SHEET'!H61/'BALANCE SHEET'!H34</f>
        <v>0.16644565444920545</v>
      </c>
      <c r="I16" s="479">
        <f>'BALANCE SHEET'!J61/'BALANCE SHEET'!J34</f>
        <v>0.22517386063632516</v>
      </c>
      <c r="J16" s="526">
        <f>AVERAGE(E16:I16)</f>
        <v>0.13489581219271846</v>
      </c>
      <c r="K16" s="531">
        <f>AVERAGE(H16:I16)</f>
        <v>0.19580975754276531</v>
      </c>
      <c r="L16" s="491">
        <v>0.35</v>
      </c>
      <c r="M16" s="491">
        <v>0.4</v>
      </c>
      <c r="N16" s="491">
        <v>0.4</v>
      </c>
      <c r="O16" s="491">
        <v>0.39</v>
      </c>
      <c r="P16" s="491">
        <v>0.31</v>
      </c>
      <c r="Q16" s="543">
        <f>AVERAGE(L16:P16)</f>
        <v>0.37</v>
      </c>
      <c r="R16" s="536">
        <f>AVERAGE(O16:P16)</f>
        <v>0.35</v>
      </c>
      <c r="S16" s="654">
        <v>8</v>
      </c>
      <c r="T16" s="662">
        <f>K16*S16/R16</f>
        <v>4.4756516009774927</v>
      </c>
      <c r="U16" s="549">
        <f t="shared" si="1"/>
        <v>0.23510418780728154</v>
      </c>
      <c r="V16" s="518">
        <f t="shared" si="1"/>
        <v>0.15419024245723467</v>
      </c>
      <c r="X16" s="1">
        <f>R16-K16</f>
        <v>0.15419024245723467</v>
      </c>
    </row>
    <row r="17" spans="1:24" ht="17.25" thickTop="1" thickBot="1" x14ac:dyDescent="0.3">
      <c r="A17" s="515" t="s">
        <v>973</v>
      </c>
      <c r="B17" s="753" t="s">
        <v>974</v>
      </c>
      <c r="C17" s="754"/>
      <c r="D17" s="755"/>
      <c r="E17" s="482">
        <f>'FINANCIAL RATIOS'!B6</f>
        <v>0.42254133424221135</v>
      </c>
      <c r="F17" s="483">
        <f>'FINANCIAL RATIOS'!C6</f>
        <v>0.26357143246885761</v>
      </c>
      <c r="G17" s="483">
        <f>'FINANCIAL RATIOS'!D6</f>
        <v>1.142996298460939</v>
      </c>
      <c r="H17" s="483">
        <f>'FINANCIAL RATIOS'!E6</f>
        <v>0.61278791115190945</v>
      </c>
      <c r="I17" s="483">
        <f>'FINANCIAL RATIOS'!F6</f>
        <v>1.2025291586978923</v>
      </c>
      <c r="J17" s="527">
        <f>AVERAGE(E17:I17)</f>
        <v>0.72888522700436198</v>
      </c>
      <c r="K17" s="532">
        <f>AVERAGE(H17:I17)</f>
        <v>0.90765853492490089</v>
      </c>
      <c r="L17" s="496">
        <v>1.7</v>
      </c>
      <c r="M17" s="496">
        <v>1.2</v>
      </c>
      <c r="N17" s="496">
        <v>1.6</v>
      </c>
      <c r="O17" s="496">
        <v>1.1000000000000001</v>
      </c>
      <c r="P17" s="496">
        <v>1.2</v>
      </c>
      <c r="Q17" s="545">
        <f>AVERAGE(L17:P17)</f>
        <v>1.3599999999999999</v>
      </c>
      <c r="R17" s="538">
        <f>AVERAGE(O17:P17)</f>
        <v>1.1499999999999999</v>
      </c>
      <c r="S17" s="655">
        <v>6</v>
      </c>
      <c r="T17" s="659">
        <f>K17*S17/R17</f>
        <v>4.7356097474342658</v>
      </c>
      <c r="U17" s="551">
        <f t="shared" si="1"/>
        <v>0.6311147729956379</v>
      </c>
      <c r="V17" s="552">
        <f t="shared" si="1"/>
        <v>0.24234146507509902</v>
      </c>
      <c r="X17" s="466">
        <f>R17-K17</f>
        <v>0.24234146507509902</v>
      </c>
    </row>
    <row r="18" spans="1:24" ht="17.25" thickTop="1" thickBot="1" x14ac:dyDescent="0.3">
      <c r="A18" s="515" t="s">
        <v>975</v>
      </c>
      <c r="B18" s="753" t="s">
        <v>976</v>
      </c>
      <c r="C18" s="754"/>
      <c r="D18" s="755"/>
      <c r="E18" s="480">
        <f>('BALANCE SHEET'!B39+'BALANCE SHEET'!B50-'BALANCE SHEET'!B7-'BALANCE SHEET'!B8)/'BALANCE SHEET'!B34</f>
        <v>0.79052106857614979</v>
      </c>
      <c r="F18" s="477">
        <f>('BALANCE SHEET'!D39+'BALANCE SHEET'!D50-'BALANCE SHEET'!D7-'BALANCE SHEET'!D8)/'BALANCE SHEET'!D34</f>
        <v>0.829715839326434</v>
      </c>
      <c r="G18" s="480">
        <f>('BALANCE SHEET'!F39+'BALANCE SHEET'!F50-'BALANCE SHEET'!F7-'BALANCE SHEET'!F8)/'BALANCE SHEET'!F34</f>
        <v>0.64351136439444401</v>
      </c>
      <c r="H18" s="480">
        <f>('BALANCE SHEET'!H39+'BALANCE SHEET'!H50-'BALANCE SHEET'!H7-'BALANCE SHEET'!H8)/'BALANCE SHEET'!H34</f>
        <v>0.67491683669223146</v>
      </c>
      <c r="I18" s="480">
        <f>('BALANCE SHEET'!J39+'BALANCE SHEET'!J50-'BALANCE SHEET'!J7-'BALANCE SHEET'!J8)/'BALANCE SHEET'!J34</f>
        <v>0.55778957087119385</v>
      </c>
      <c r="J18" s="526">
        <f>AVERAGE(E18:I18)</f>
        <v>0.69929093597209069</v>
      </c>
      <c r="K18" s="531">
        <f>AVERAGE(H18:I18)</f>
        <v>0.61635320378171266</v>
      </c>
      <c r="L18" s="479">
        <v>0.39</v>
      </c>
      <c r="M18" s="479">
        <v>0.37</v>
      </c>
      <c r="N18" s="479">
        <v>0.32</v>
      </c>
      <c r="O18" s="479">
        <v>0.4</v>
      </c>
      <c r="P18" s="479">
        <v>0.48</v>
      </c>
      <c r="Q18" s="546">
        <f>AVERAGE(L18:P18)</f>
        <v>0.39200000000000002</v>
      </c>
      <c r="R18" s="539">
        <f>AVERAGE(O18:P18)</f>
        <v>0.44</v>
      </c>
      <c r="S18" s="656">
        <v>3</v>
      </c>
      <c r="T18" s="663">
        <f>K18*S18/R18</f>
        <v>4.2024082076025868</v>
      </c>
      <c r="U18" s="549">
        <f t="shared" si="1"/>
        <v>-0.30729093597209067</v>
      </c>
      <c r="V18" s="520">
        <f t="shared" si="1"/>
        <v>-0.17635320378171265</v>
      </c>
      <c r="X18" s="1">
        <f>K18-R18</f>
        <v>0.17635320378171265</v>
      </c>
    </row>
    <row r="19" spans="1:24" ht="17.25" thickTop="1" thickBot="1" x14ac:dyDescent="0.3">
      <c r="A19" s="515" t="s">
        <v>977</v>
      </c>
      <c r="B19" s="753" t="s">
        <v>978</v>
      </c>
      <c r="C19" s="754"/>
      <c r="D19" s="755"/>
      <c r="E19" s="494">
        <f>E20/E21</f>
        <v>4.1022993078208287</v>
      </c>
      <c r="F19" s="495">
        <f>F20/F21</f>
        <v>3.1860360092697131</v>
      </c>
      <c r="G19" s="494">
        <f>G20/G21</f>
        <v>3.3532765957446808</v>
      </c>
      <c r="H19" s="494">
        <f>H20/H21</f>
        <v>3.4643428845846005</v>
      </c>
      <c r="I19" s="494">
        <f>I20/I21</f>
        <v>3.3330739087098404</v>
      </c>
      <c r="J19" s="527">
        <f>AVERAGE(E19:I19)</f>
        <v>3.4878057412259325</v>
      </c>
      <c r="K19" s="533">
        <f>AVERAGE(H19:I19)</f>
        <v>3.3987083966472205</v>
      </c>
      <c r="L19" s="494">
        <v>2.1</v>
      </c>
      <c r="M19" s="494">
        <v>0.7</v>
      </c>
      <c r="N19" s="494">
        <v>4.5999999999999996</v>
      </c>
      <c r="O19" s="494">
        <v>3.2</v>
      </c>
      <c r="P19" s="494">
        <v>3.6</v>
      </c>
      <c r="Q19" s="547">
        <f>AVERAGE(L19:P19)</f>
        <v>2.84</v>
      </c>
      <c r="R19" s="540">
        <f>AVERAGE(O19:P19)</f>
        <v>3.4000000000000004</v>
      </c>
      <c r="S19" s="654">
        <v>5</v>
      </c>
      <c r="T19" s="664">
        <f>K19*S19/R19</f>
        <v>4.9981005833047352</v>
      </c>
      <c r="U19" s="551">
        <f t="shared" si="1"/>
        <v>-0.6478057412259326</v>
      </c>
      <c r="V19" s="553">
        <f t="shared" si="1"/>
        <v>1.2916033527798909E-3</v>
      </c>
      <c r="X19" s="466">
        <f>K19-R19</f>
        <v>-1.2916033527798909E-3</v>
      </c>
    </row>
    <row r="20" spans="1:24" ht="16.5" thickTop="1" thickBot="1" x14ac:dyDescent="0.3">
      <c r="A20" s="584"/>
      <c r="B20" s="738" t="s">
        <v>979</v>
      </c>
      <c r="C20" s="739"/>
      <c r="D20" s="740"/>
      <c r="E20" s="508">
        <f>'INCOME STATEMENT'!B22+'CASH FLOW STATEMENT'!B7+'CASH FLOW STATEMENT'!B8+'CASH FLOW STATEMENT'!B9+'CASH FLOW STATEMENT'!B10</f>
        <v>257809</v>
      </c>
      <c r="F20" s="508">
        <f>'INCOME STATEMENT'!E22+'CASH FLOW STATEMENT'!C7+'CASH FLOW STATEMENT'!C8+'CASH FLOW STATEMENT'!C9+'CASH FLOW STATEMENT'!C10</f>
        <v>268089</v>
      </c>
      <c r="G20" s="485">
        <f>'INCOME STATEMENT'!H22+'CASH FLOW STATEMENT'!D7+'CASH FLOW STATEMENT'!D8+'CASH FLOW STATEMENT'!D9+'CASH FLOW STATEMENT'!D10</f>
        <v>236406</v>
      </c>
      <c r="H20" s="485">
        <f>'INCOME STATEMENT'!K22+'CASH FLOW STATEMENT'!E7+'CASH FLOW STATEMENT'!E8+'CASH FLOW STATEMENT'!E9+'CASH FLOW STATEMENT'!E10</f>
        <v>259701</v>
      </c>
      <c r="I20" s="485">
        <f>'INCOME STATEMENT'!N22+'CASH FLOW STATEMENT'!F7+'CASH FLOW STATEMENT'!F8+'CASH FLOW STATEMENT'!F9+'CASH FLOW STATEMENT'!F10</f>
        <v>244111</v>
      </c>
      <c r="J20" s="490"/>
      <c r="K20" s="488"/>
      <c r="L20" s="507"/>
      <c r="M20" s="490"/>
      <c r="N20" s="490"/>
      <c r="O20" s="490"/>
      <c r="P20" s="490"/>
      <c r="Q20" s="490"/>
      <c r="R20" s="490"/>
      <c r="S20" s="649"/>
      <c r="T20" s="490"/>
      <c r="U20" s="467"/>
      <c r="W20" s="432"/>
    </row>
    <row r="21" spans="1:24" ht="16.5" thickTop="1" thickBot="1" x14ac:dyDescent="0.3">
      <c r="B21" s="771" t="s">
        <v>980</v>
      </c>
      <c r="C21" s="772"/>
      <c r="D21" s="773"/>
      <c r="E21" s="468">
        <f>-'INCOME STATEMENT'!B26-'INCOME STATEMENT'!B25</f>
        <v>62845</v>
      </c>
      <c r="F21" s="468">
        <f>-'INCOME STATEMENT'!E26-'INCOME STATEMENT'!E25</f>
        <v>84145</v>
      </c>
      <c r="G21" s="468">
        <f>-'INCOME STATEMENT'!H26-'INCOME STATEMENT'!H25</f>
        <v>70500</v>
      </c>
      <c r="H21" s="468">
        <f>-'INCOME STATEMENT'!K26-'INCOME STATEMENT'!K25</f>
        <v>74964</v>
      </c>
      <c r="I21" s="468">
        <f>-'INCOME STATEMENT'!N26-'INCOME STATEMENT'!N25</f>
        <v>73239</v>
      </c>
      <c r="J21" s="506"/>
      <c r="K21" s="506"/>
      <c r="L21" s="489"/>
      <c r="M21" s="506"/>
      <c r="N21" s="506"/>
      <c r="O21" s="506"/>
      <c r="P21" s="506"/>
      <c r="Q21" s="506"/>
      <c r="R21" s="506"/>
      <c r="S21" s="650"/>
      <c r="T21" s="506"/>
      <c r="U21" s="504"/>
      <c r="V21" s="504"/>
      <c r="W21" s="432"/>
    </row>
    <row r="22" spans="1:24" ht="15.75" thickTop="1" x14ac:dyDescent="0.25">
      <c r="H22" s="584"/>
      <c r="I22" s="584"/>
      <c r="J22" s="584"/>
      <c r="K22" s="584"/>
      <c r="U22" s="584"/>
      <c r="V22" s="584"/>
    </row>
    <row r="25" spans="1:24" x14ac:dyDescent="0.25">
      <c r="N25" s="642" t="s">
        <v>981</v>
      </c>
    </row>
    <row r="26" spans="1:24" ht="15.75" x14ac:dyDescent="0.25">
      <c r="B26" s="666"/>
      <c r="C26" s="667"/>
      <c r="D26" s="669"/>
      <c r="E26" s="669"/>
      <c r="F26" s="101"/>
    </row>
    <row r="27" spans="1:24" ht="15.75" x14ac:dyDescent="0.25">
      <c r="C27" s="666"/>
      <c r="D27" s="669"/>
      <c r="E27" s="668"/>
      <c r="F27" s="667"/>
      <c r="G27" s="101"/>
    </row>
    <row r="28" spans="1:24" x14ac:dyDescent="0.25">
      <c r="D28" s="665"/>
      <c r="E28" s="665"/>
      <c r="F28" s="665"/>
    </row>
    <row r="32" spans="1:24" x14ac:dyDescent="0.25">
      <c r="E32" s="642" t="s">
        <v>982</v>
      </c>
      <c r="H32" s="642" t="s">
        <v>983</v>
      </c>
    </row>
    <row r="33" spans="3:8" x14ac:dyDescent="0.25">
      <c r="C33" s="642" t="s">
        <v>955</v>
      </c>
      <c r="E33">
        <v>2</v>
      </c>
      <c r="H33">
        <v>0</v>
      </c>
    </row>
    <row r="34" spans="3:8" x14ac:dyDescent="0.25">
      <c r="C34" s="642" t="s">
        <v>984</v>
      </c>
      <c r="E34">
        <v>9</v>
      </c>
      <c r="H34">
        <v>4.4000000000000004</v>
      </c>
    </row>
    <row r="35" spans="3:8" x14ac:dyDescent="0.25">
      <c r="C35" s="642" t="s">
        <v>985</v>
      </c>
      <c r="E35">
        <v>2</v>
      </c>
      <c r="H35">
        <v>3.4</v>
      </c>
    </row>
    <row r="36" spans="3:8" x14ac:dyDescent="0.25">
      <c r="C36" s="642" t="s">
        <v>986</v>
      </c>
      <c r="E36">
        <v>10</v>
      </c>
      <c r="H36">
        <v>10</v>
      </c>
    </row>
    <row r="37" spans="3:8" x14ac:dyDescent="0.25">
      <c r="C37" s="642" t="s">
        <v>987</v>
      </c>
      <c r="E37">
        <v>2</v>
      </c>
      <c r="H37">
        <v>0</v>
      </c>
    </row>
    <row r="38" spans="3:8" x14ac:dyDescent="0.25">
      <c r="C38" s="642" t="s">
        <v>970</v>
      </c>
      <c r="E38">
        <v>3</v>
      </c>
      <c r="H38">
        <v>10</v>
      </c>
    </row>
    <row r="39" spans="3:8" x14ac:dyDescent="0.25">
      <c r="C39" s="642" t="s">
        <v>988</v>
      </c>
      <c r="E39">
        <v>8</v>
      </c>
      <c r="H39">
        <v>4.5</v>
      </c>
    </row>
    <row r="40" spans="3:8" x14ac:dyDescent="0.25">
      <c r="C40" s="642" t="s">
        <v>989</v>
      </c>
      <c r="E40">
        <v>6</v>
      </c>
      <c r="H40">
        <v>4.7</v>
      </c>
    </row>
    <row r="41" spans="3:8" x14ac:dyDescent="0.25">
      <c r="C41" s="642" t="s">
        <v>990</v>
      </c>
      <c r="E41">
        <v>3</v>
      </c>
      <c r="H41">
        <v>4.2</v>
      </c>
    </row>
    <row r="42" spans="3:8" x14ac:dyDescent="0.25">
      <c r="C42" s="642" t="s">
        <v>991</v>
      </c>
      <c r="E42">
        <v>5</v>
      </c>
      <c r="H42">
        <v>5</v>
      </c>
    </row>
  </sheetData>
  <mergeCells count="38">
    <mergeCell ref="S3:T4"/>
    <mergeCell ref="S5:S6"/>
    <mergeCell ref="T5:T6"/>
    <mergeCell ref="B21:D21"/>
    <mergeCell ref="B20:D20"/>
    <mergeCell ref="J5:J6"/>
    <mergeCell ref="E5:E6"/>
    <mergeCell ref="F5:F6"/>
    <mergeCell ref="G5:G6"/>
    <mergeCell ref="H5:H6"/>
    <mergeCell ref="I5:I6"/>
    <mergeCell ref="B9:D9"/>
    <mergeCell ref="B8:D8"/>
    <mergeCell ref="B19:D19"/>
    <mergeCell ref="B18:D18"/>
    <mergeCell ref="B17:D17"/>
    <mergeCell ref="U5:U6"/>
    <mergeCell ref="V5:V6"/>
    <mergeCell ref="R5:R6"/>
    <mergeCell ref="B16:D16"/>
    <mergeCell ref="B15:D15"/>
    <mergeCell ref="B13:D13"/>
    <mergeCell ref="B10:D10"/>
    <mergeCell ref="B12:D12"/>
    <mergeCell ref="B11:D11"/>
    <mergeCell ref="N1:P2"/>
    <mergeCell ref="B14:D14"/>
    <mergeCell ref="L3:R4"/>
    <mergeCell ref="L5:L6"/>
    <mergeCell ref="M5:M6"/>
    <mergeCell ref="N5:N6"/>
    <mergeCell ref="O5:O6"/>
    <mergeCell ref="P5:P6"/>
    <mergeCell ref="Q5:Q6"/>
    <mergeCell ref="K5:K6"/>
    <mergeCell ref="E3:K4"/>
    <mergeCell ref="B5:D6"/>
    <mergeCell ref="B7:D7"/>
  </mergeCells>
  <pageMargins left="0.7" right="0.7" top="0.75" bottom="0.75" header="0.3" footer="0.3"/>
  <pageSetup orientation="portrait" r:id="rId1"/>
  <ignoredErrors>
    <ignoredError sqref="R10:R13 R15:R19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6"/>
  <sheetViews>
    <sheetView tabSelected="1" workbookViewId="0">
      <selection activeCell="F19" sqref="F19"/>
    </sheetView>
  </sheetViews>
  <sheetFormatPr defaultRowHeight="15" x14ac:dyDescent="0.25"/>
  <cols>
    <col min="3" max="3" width="22.5703125" customWidth="1"/>
    <col min="4" max="9" width="15.7109375" customWidth="1"/>
  </cols>
  <sheetData>
    <row r="1" spans="1:11" ht="15.75" thickTop="1" x14ac:dyDescent="0.25">
      <c r="B1" s="741" t="s">
        <v>992</v>
      </c>
      <c r="C1" s="780"/>
      <c r="D1" s="780"/>
      <c r="E1" s="780"/>
      <c r="F1" s="780"/>
      <c r="G1" s="780"/>
      <c r="H1" s="780"/>
      <c r="I1" s="780"/>
      <c r="J1" s="432"/>
    </row>
    <row r="2" spans="1:11" ht="15.75" thickBot="1" x14ac:dyDescent="0.3">
      <c r="B2" s="781"/>
      <c r="C2" s="782"/>
      <c r="D2" s="782"/>
      <c r="E2" s="782"/>
      <c r="F2" s="782"/>
      <c r="G2" s="782"/>
      <c r="H2" s="782"/>
      <c r="I2" s="782"/>
      <c r="J2" s="432"/>
    </row>
    <row r="3" spans="1:11" ht="22.5" customHeight="1" thickTop="1" thickBot="1" x14ac:dyDescent="0.3">
      <c r="I3" s="437"/>
    </row>
    <row r="4" spans="1:11" ht="22.5" thickTop="1" thickBot="1" x14ac:dyDescent="0.3">
      <c r="D4" s="438">
        <v>2008</v>
      </c>
      <c r="E4" s="670">
        <v>2009</v>
      </c>
      <c r="F4" s="439">
        <v>2010</v>
      </c>
      <c r="G4" s="670">
        <v>2011</v>
      </c>
      <c r="H4" s="440">
        <v>2012</v>
      </c>
      <c r="I4" s="440" t="s">
        <v>3</v>
      </c>
    </row>
    <row r="5" spans="1:11" ht="22.5" thickTop="1" thickBot="1" x14ac:dyDescent="0.3">
      <c r="A5" s="434"/>
      <c r="B5" s="783" t="s">
        <v>993</v>
      </c>
      <c r="C5" s="784"/>
      <c r="D5" s="454">
        <f>'INCOME STATEMENT'!B32</f>
        <v>99779</v>
      </c>
      <c r="E5" s="455">
        <f>'INCOME STATEMENT'!E32</f>
        <v>116929</v>
      </c>
      <c r="F5" s="455">
        <f>'INCOME STATEMENT'!H32</f>
        <v>80612</v>
      </c>
      <c r="G5" s="455">
        <f>'INCOME STATEMENT'!K32</f>
        <v>87592</v>
      </c>
      <c r="H5" s="455">
        <f>'INCOME STATEMENT'!N32</f>
        <v>81129</v>
      </c>
      <c r="I5" s="456">
        <f>'INCOME STATEMENT'!Q32</f>
        <v>76235</v>
      </c>
    </row>
    <row r="6" spans="1:11" ht="21.75" thickBot="1" x14ac:dyDescent="0.3">
      <c r="A6" s="434"/>
      <c r="B6" s="785" t="s">
        <v>994</v>
      </c>
      <c r="C6" s="786"/>
      <c r="D6" s="457">
        <f>'BALANCE SHEET'!B61</f>
        <v>-10750</v>
      </c>
      <c r="E6" s="458">
        <f>'BALANCE SHEET'!D61</f>
        <v>155222</v>
      </c>
      <c r="F6" s="458">
        <f>'BALANCE SHEET'!F61</f>
        <v>362142</v>
      </c>
      <c r="G6" s="458">
        <f>'BALANCE SHEET'!H61</f>
        <v>329986</v>
      </c>
      <c r="H6" s="458">
        <f>'BALANCE SHEET'!J61</f>
        <v>520452</v>
      </c>
      <c r="I6" s="459">
        <f>'BALANCE SHEET'!L61</f>
        <v>639923</v>
      </c>
    </row>
    <row r="7" spans="1:11" ht="21.75" thickBot="1" x14ac:dyDescent="0.3">
      <c r="A7" s="434"/>
      <c r="B7" s="776" t="s">
        <v>995</v>
      </c>
      <c r="C7" s="777"/>
      <c r="D7" s="460">
        <f>'BALANCE SHEET'!B34</f>
        <v>1815500</v>
      </c>
      <c r="E7" s="461">
        <f>'BALANCE SHEET'!D34</f>
        <v>1710300</v>
      </c>
      <c r="F7" s="458">
        <f>'BALANCE SHEET'!F34</f>
        <v>1828782</v>
      </c>
      <c r="G7" s="458">
        <f>'BALANCE SHEET'!H34</f>
        <v>1982545</v>
      </c>
      <c r="H7" s="458">
        <f>'BALANCE SHEET'!J34</f>
        <v>2311334</v>
      </c>
      <c r="I7" s="459">
        <f>'BALANCE SHEET'!L34</f>
        <v>2628669</v>
      </c>
    </row>
    <row r="8" spans="1:11" ht="21.75" thickBot="1" x14ac:dyDescent="0.3">
      <c r="A8" s="434"/>
      <c r="B8" s="776" t="s">
        <v>996</v>
      </c>
      <c r="C8" s="777"/>
      <c r="D8" s="460">
        <f>'BALANCE SHEET'!B18</f>
        <v>121495</v>
      </c>
      <c r="E8" s="462">
        <f>'BALANCE SHEET'!D18</f>
        <v>48305</v>
      </c>
      <c r="F8" s="458">
        <f>'BALANCE SHEET'!F18</f>
        <v>211212</v>
      </c>
      <c r="G8" s="458">
        <f>'BALANCE SHEET'!H18</f>
        <v>138851</v>
      </c>
      <c r="H8" s="458">
        <f>'BALANCE SHEET'!J18</f>
        <v>299924</v>
      </c>
      <c r="I8" s="459">
        <f>'BALANCE SHEET'!L18</f>
        <v>163959</v>
      </c>
      <c r="K8" s="465"/>
    </row>
    <row r="9" spans="1:11" ht="21.75" thickBot="1" x14ac:dyDescent="0.3">
      <c r="A9" s="434"/>
      <c r="B9" s="776" t="s">
        <v>997</v>
      </c>
      <c r="C9" s="777"/>
      <c r="D9" s="463">
        <f>'BALANCE SHEET'!B47</f>
        <v>287534</v>
      </c>
      <c r="E9" s="458">
        <f>'BALANCE SHEET'!D47</f>
        <v>183271</v>
      </c>
      <c r="F9" s="458">
        <f>'BALANCE SHEET'!F47</f>
        <v>184788</v>
      </c>
      <c r="G9" s="458">
        <f>'BALANCE SHEET'!H47</f>
        <v>226589</v>
      </c>
      <c r="H9" s="458">
        <f>'BALANCE SHEET'!J47</f>
        <v>249411</v>
      </c>
      <c r="I9" s="459">
        <f>'BALANCE SHEET'!L47</f>
        <v>285763</v>
      </c>
    </row>
    <row r="10" spans="1:11" ht="21.75" thickBot="1" x14ac:dyDescent="0.3">
      <c r="A10" s="434"/>
      <c r="B10" s="776" t="s">
        <v>998</v>
      </c>
      <c r="C10" s="777"/>
      <c r="D10" s="464">
        <f>'BALANCE SHEET'!B50</f>
        <v>1435213</v>
      </c>
      <c r="E10" s="458">
        <f>'BALANCE SHEET'!D50</f>
        <v>1341737</v>
      </c>
      <c r="F10" s="458">
        <f>'BALANCE SHEET'!F50</f>
        <v>1227140</v>
      </c>
      <c r="G10" s="458">
        <f>'BALANCE SHEET'!H50</f>
        <v>1290244</v>
      </c>
      <c r="H10" s="458">
        <f>'BALANCE SHEET'!J50</f>
        <v>1399720</v>
      </c>
      <c r="I10" s="459">
        <f>'BALANCE SHEET'!L50</f>
        <v>1617751</v>
      </c>
    </row>
    <row r="11" spans="1:11" ht="21.75" thickBot="1" x14ac:dyDescent="0.3">
      <c r="A11" s="434"/>
      <c r="B11" s="776" t="s">
        <v>999</v>
      </c>
      <c r="C11" s="777"/>
      <c r="D11" s="453">
        <f>'FINANCIAL RATIOS'!B23</f>
        <v>-9.281767441860465</v>
      </c>
      <c r="E11" s="442">
        <f>'FINANCIAL RATIOS'!C23</f>
        <v>0.75330172269394802</v>
      </c>
      <c r="F11" s="443">
        <f>'FINANCIAL RATIOS'!D23</f>
        <v>0.22259776551739374</v>
      </c>
      <c r="G11" s="444">
        <f>'FINANCIAL RATIOS'!E23</f>
        <v>0.26544156418757159</v>
      </c>
      <c r="H11" s="444">
        <f>'FINANCIAL RATIOS'!F23</f>
        <v>0.15588181042632174</v>
      </c>
      <c r="I11" s="445">
        <f>'FINANCIAL RATIOS'!G23</f>
        <v>0.11913152051106149</v>
      </c>
    </row>
    <row r="12" spans="1:11" ht="21.75" thickBot="1" x14ac:dyDescent="0.3">
      <c r="A12" s="434"/>
      <c r="B12" s="776" t="s">
        <v>1000</v>
      </c>
      <c r="C12" s="777"/>
      <c r="D12" s="643">
        <f>'FINANCIAL RATIOS'!B32</f>
        <v>-169.88372093023256</v>
      </c>
      <c r="E12" s="644">
        <f>'FINANCIAL RATIOS'!C32</f>
        <v>10.018412338457178</v>
      </c>
      <c r="F12" s="645">
        <f>'FINANCIAL RATIOS'!D32</f>
        <v>4.0499030766936723</v>
      </c>
      <c r="G12" s="646">
        <f>'FINANCIAL RATIOS'!E32</f>
        <v>5.007967004660804</v>
      </c>
      <c r="H12" s="644">
        <f>'FINANCIAL RATIOS'!F32</f>
        <v>3.4410128119403902</v>
      </c>
      <c r="I12" s="647">
        <f>'FINANCIAL RATIOS'!G32</f>
        <v>3.1077895309279393</v>
      </c>
    </row>
    <row r="13" spans="1:11" ht="21.75" thickBot="1" x14ac:dyDescent="0.3">
      <c r="A13" s="434"/>
      <c r="B13" s="776" t="s">
        <v>1001</v>
      </c>
      <c r="C13" s="777"/>
      <c r="D13" s="447">
        <f>'FINANCIAL RATIOS'!B21</f>
        <v>5.4959515285045439E-2</v>
      </c>
      <c r="E13" s="442">
        <f>'FINANCIAL RATIOS'!C21</f>
        <v>6.8367537858855174E-2</v>
      </c>
      <c r="F13" s="448">
        <f>'FINANCIAL RATIOS'!D21</f>
        <v>4.407961145724313E-2</v>
      </c>
      <c r="G13" s="444">
        <f>'FINANCIAL RATIOS'!E21</f>
        <v>4.418159486922113E-2</v>
      </c>
      <c r="H13" s="442">
        <f>'FINANCIAL RATIOS'!F21</f>
        <v>3.5100509056674632E-2</v>
      </c>
      <c r="I13" s="446">
        <f>'FINANCIAL RATIOS'!G21</f>
        <v>2.9001369133960953E-2</v>
      </c>
    </row>
    <row r="14" spans="1:11" ht="21.75" thickBot="1" x14ac:dyDescent="0.3">
      <c r="A14" s="434"/>
      <c r="B14" s="776" t="s">
        <v>1002</v>
      </c>
      <c r="C14" s="777"/>
      <c r="D14" s="441">
        <f>'FINANCIAL RATIOS'!B6</f>
        <v>0.42254133424221135</v>
      </c>
      <c r="E14" s="442">
        <f>'FINANCIAL RATIOS'!C6</f>
        <v>0.26357143246885761</v>
      </c>
      <c r="F14" s="442">
        <f>'FINANCIAL RATIOS'!D6</f>
        <v>1.142996298460939</v>
      </c>
      <c r="G14" s="449">
        <f>'FINANCIAL RATIOS'!E6</f>
        <v>0.61278791115190945</v>
      </c>
      <c r="H14" s="442">
        <f>'FINANCIAL RATIOS'!F6</f>
        <v>1.2025291586978923</v>
      </c>
      <c r="I14" s="446">
        <f>'FINANCIAL RATIOS'!G6</f>
        <v>0.57375867414605808</v>
      </c>
    </row>
    <row r="15" spans="1:11" ht="21.75" thickBot="1" x14ac:dyDescent="0.3">
      <c r="A15" s="434"/>
      <c r="B15" s="778" t="s">
        <v>1003</v>
      </c>
      <c r="C15" s="779"/>
      <c r="D15" s="450">
        <f>'FINANCIAL RATIOS'!B24</f>
        <v>0.12601450511526097</v>
      </c>
      <c r="E15" s="451">
        <f>'FINANCIAL RATIOS'!C24</f>
        <v>0.12798413316597182</v>
      </c>
      <c r="F15" s="452">
        <f>'FINANCIAL RATIOS'!D24</f>
        <v>9.8080139333359337E-2</v>
      </c>
      <c r="G15" s="452">
        <f>'FINANCIAL RATIOS'!E24</f>
        <v>0.10533195904285195</v>
      </c>
      <c r="H15" s="451">
        <f>'FINANCIAL RATIOS'!F24</f>
        <v>8.0655795418327111E-2</v>
      </c>
      <c r="I15" s="446">
        <f>'FINANCIAL RATIOS'!G24</f>
        <v>5.5255984699296712E-2</v>
      </c>
    </row>
    <row r="16" spans="1:11" ht="15.75" thickTop="1" x14ac:dyDescent="0.25">
      <c r="B16" s="584"/>
      <c r="C16" s="584"/>
      <c r="E16" s="584"/>
      <c r="H16" s="584"/>
      <c r="I16" s="584"/>
    </row>
  </sheetData>
  <mergeCells count="12">
    <mergeCell ref="B9:C9"/>
    <mergeCell ref="B1:I2"/>
    <mergeCell ref="B5:C5"/>
    <mergeCell ref="B6:C6"/>
    <mergeCell ref="B7:C7"/>
    <mergeCell ref="B8:C8"/>
    <mergeCell ref="B10:C10"/>
    <mergeCell ref="B13:C13"/>
    <mergeCell ref="B14:C14"/>
    <mergeCell ref="B15:C15"/>
    <mergeCell ref="B11:C11"/>
    <mergeCell ref="B12:C1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8"/>
  <sheetViews>
    <sheetView zoomScale="85" zoomScaleNormal="85" workbookViewId="0">
      <selection activeCell="S46" sqref="S46"/>
    </sheetView>
  </sheetViews>
  <sheetFormatPr defaultRowHeight="15" x14ac:dyDescent="0.25"/>
  <cols>
    <col min="4" max="4" width="11.7109375" customWidth="1"/>
    <col min="15" max="15" width="9.140625" customWidth="1"/>
    <col min="16" max="16" width="9" customWidth="1"/>
  </cols>
  <sheetData>
    <row r="1" spans="1:15" ht="15.75" thickBot="1" x14ac:dyDescent="0.3"/>
    <row r="2" spans="1:15" ht="15.75" customHeight="1" thickTop="1" x14ac:dyDescent="0.25">
      <c r="B2" s="827" t="s">
        <v>1004</v>
      </c>
      <c r="C2" s="828"/>
      <c r="D2" s="828"/>
      <c r="E2" s="828"/>
      <c r="F2" s="828"/>
      <c r="G2" s="828"/>
      <c r="H2" s="828"/>
      <c r="I2" s="828"/>
      <c r="J2" s="828"/>
      <c r="K2" s="828"/>
      <c r="L2" s="828"/>
      <c r="M2" s="828"/>
      <c r="N2" s="829"/>
      <c r="O2" s="432"/>
    </row>
    <row r="3" spans="1:15" ht="15.75" customHeight="1" thickBot="1" x14ac:dyDescent="0.3">
      <c r="B3" s="830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2"/>
      <c r="O3" s="432"/>
    </row>
    <row r="4" spans="1:15" ht="16.5" thickTop="1" thickBot="1" x14ac:dyDescent="0.3">
      <c r="F4" s="501"/>
      <c r="G4" s="501"/>
    </row>
    <row r="5" spans="1:15" ht="20.25" customHeight="1" thickTop="1" thickBot="1" x14ac:dyDescent="0.3">
      <c r="B5" s="741" t="s">
        <v>1005</v>
      </c>
      <c r="C5" s="693"/>
      <c r="D5" s="694"/>
      <c r="E5" s="741" t="s">
        <v>1006</v>
      </c>
      <c r="F5" s="837"/>
      <c r="G5" s="747" t="s">
        <v>3</v>
      </c>
      <c r="H5" s="749"/>
      <c r="I5" s="741" t="s">
        <v>1007</v>
      </c>
      <c r="J5" s="694"/>
      <c r="K5" s="741" t="s">
        <v>1008</v>
      </c>
      <c r="L5" s="694"/>
      <c r="M5" s="800" t="s">
        <v>1009</v>
      </c>
      <c r="N5" s="801"/>
      <c r="O5" s="432"/>
    </row>
    <row r="6" spans="1:15" ht="30.75" customHeight="1" thickTop="1" thickBot="1" x14ac:dyDescent="0.3">
      <c r="B6" s="695"/>
      <c r="C6" s="696"/>
      <c r="D6" s="697"/>
      <c r="E6" s="838"/>
      <c r="F6" s="839"/>
      <c r="G6" s="695" t="s">
        <v>1010</v>
      </c>
      <c r="H6" s="697"/>
      <c r="I6" s="695"/>
      <c r="J6" s="697"/>
      <c r="K6" s="695"/>
      <c r="L6" s="697"/>
      <c r="M6" s="435" t="s">
        <v>1011</v>
      </c>
      <c r="N6" s="436" t="s">
        <v>1012</v>
      </c>
      <c r="O6" s="432"/>
    </row>
    <row r="7" spans="1:15" ht="15.75" customHeight="1" thickTop="1" x14ac:dyDescent="0.25">
      <c r="A7" s="877" t="s">
        <v>954</v>
      </c>
      <c r="B7" s="840" t="s">
        <v>1013</v>
      </c>
      <c r="C7" s="841"/>
      <c r="D7" s="842"/>
      <c r="E7" s="855" t="s">
        <v>1014</v>
      </c>
      <c r="F7" s="856"/>
      <c r="G7" s="833">
        <f>'FINANCIAL RATIOS'!G3/'BALANCE SHEET'!L34</f>
        <v>-4.6336758260549352E-2</v>
      </c>
      <c r="H7" s="834"/>
      <c r="I7" s="833">
        <v>6.56</v>
      </c>
      <c r="J7" s="851"/>
      <c r="K7" s="859">
        <f>G7*I7</f>
        <v>-0.30396913418920374</v>
      </c>
      <c r="L7" s="860"/>
      <c r="M7" s="802">
        <v>-0.06</v>
      </c>
      <c r="N7" s="812">
        <v>0.41</v>
      </c>
    </row>
    <row r="8" spans="1:15" ht="15.75" customHeight="1" thickBot="1" x14ac:dyDescent="0.3">
      <c r="A8" s="878"/>
      <c r="B8" s="843"/>
      <c r="C8" s="844"/>
      <c r="D8" s="845"/>
      <c r="E8" s="857" t="s">
        <v>1015</v>
      </c>
      <c r="F8" s="858"/>
      <c r="G8" s="835"/>
      <c r="H8" s="836"/>
      <c r="I8" s="835"/>
      <c r="J8" s="852"/>
      <c r="K8" s="861"/>
      <c r="L8" s="862"/>
      <c r="M8" s="803"/>
      <c r="N8" s="813"/>
    </row>
    <row r="9" spans="1:15" ht="15.75" customHeight="1" thickTop="1" x14ac:dyDescent="0.25">
      <c r="A9" s="877" t="s">
        <v>959</v>
      </c>
      <c r="B9" s="840" t="s">
        <v>1016</v>
      </c>
      <c r="C9" s="846"/>
      <c r="D9" s="846"/>
      <c r="E9" s="849" t="s">
        <v>1017</v>
      </c>
      <c r="F9" s="850"/>
      <c r="G9" s="833">
        <f>('BALANCE SHEET'!L59+'BALANCE SHEET'!L60)/'BALANCE SHEET'!L34</f>
        <v>-4.6497676200388867E-2</v>
      </c>
      <c r="H9" s="834"/>
      <c r="I9" s="833">
        <v>3.26</v>
      </c>
      <c r="J9" s="834"/>
      <c r="K9" s="859">
        <f>G9*I9</f>
        <v>-0.15158242441326769</v>
      </c>
      <c r="L9" s="860"/>
      <c r="M9" s="802">
        <v>-0.63</v>
      </c>
      <c r="N9" s="812">
        <v>0.35</v>
      </c>
    </row>
    <row r="10" spans="1:15" ht="15.75" customHeight="1" thickBot="1" x14ac:dyDescent="0.3">
      <c r="A10" s="878"/>
      <c r="B10" s="847"/>
      <c r="C10" s="848"/>
      <c r="D10" s="848"/>
      <c r="E10" s="879" t="s">
        <v>1015</v>
      </c>
      <c r="F10" s="880"/>
      <c r="G10" s="835"/>
      <c r="H10" s="836"/>
      <c r="I10" s="853"/>
      <c r="J10" s="854"/>
      <c r="K10" s="861"/>
      <c r="L10" s="862"/>
      <c r="M10" s="803"/>
      <c r="N10" s="813"/>
    </row>
    <row r="11" spans="1:15" ht="15.75" customHeight="1" thickTop="1" x14ac:dyDescent="0.25">
      <c r="A11" s="877" t="s">
        <v>961</v>
      </c>
      <c r="B11" s="840" t="s">
        <v>1018</v>
      </c>
      <c r="C11" s="865"/>
      <c r="D11" s="866"/>
      <c r="E11" s="849" t="s">
        <v>957</v>
      </c>
      <c r="F11" s="850"/>
      <c r="G11" s="833">
        <f>'INCOME STATEMENT'!Q22/'BALANCE SHEET'!L34</f>
        <v>4.7457477529502572E-2</v>
      </c>
      <c r="H11" s="834"/>
      <c r="I11" s="833">
        <v>6.72</v>
      </c>
      <c r="J11" s="851"/>
      <c r="K11" s="859">
        <f>G11*I11</f>
        <v>0.31891424899825727</v>
      </c>
      <c r="L11" s="860"/>
      <c r="M11" s="802">
        <v>-0.32</v>
      </c>
      <c r="N11" s="812">
        <v>0.15</v>
      </c>
    </row>
    <row r="12" spans="1:15" ht="15.75" customHeight="1" thickBot="1" x14ac:dyDescent="0.3">
      <c r="A12" s="878"/>
      <c r="B12" s="867"/>
      <c r="C12" s="868"/>
      <c r="D12" s="869"/>
      <c r="E12" s="879" t="s">
        <v>1015</v>
      </c>
      <c r="F12" s="880"/>
      <c r="G12" s="835"/>
      <c r="H12" s="836"/>
      <c r="I12" s="835"/>
      <c r="J12" s="852"/>
      <c r="K12" s="861"/>
      <c r="L12" s="862"/>
      <c r="M12" s="803"/>
      <c r="N12" s="813"/>
    </row>
    <row r="13" spans="1:15" ht="15.75" customHeight="1" thickTop="1" x14ac:dyDescent="0.25">
      <c r="A13" s="877" t="s">
        <v>963</v>
      </c>
      <c r="B13" s="840" t="s">
        <v>1019</v>
      </c>
      <c r="C13" s="865"/>
      <c r="D13" s="866"/>
      <c r="E13" s="849" t="s">
        <v>1020</v>
      </c>
      <c r="F13" s="850"/>
      <c r="G13" s="833">
        <f>'BALANCE SHEET'!L61/('BALANCE SHEET'!L47+'BALANCE SHEET'!L53)</f>
        <v>0.32177211167238051</v>
      </c>
      <c r="H13" s="834"/>
      <c r="I13" s="853">
        <v>1.05</v>
      </c>
      <c r="J13" s="881"/>
      <c r="K13" s="859">
        <f>G13*I13</f>
        <v>0.33786071725599953</v>
      </c>
      <c r="L13" s="860"/>
      <c r="M13" s="802">
        <v>0.49</v>
      </c>
      <c r="N13" s="812">
        <v>2.68</v>
      </c>
    </row>
    <row r="14" spans="1:15" ht="15.75" customHeight="1" thickBot="1" x14ac:dyDescent="0.3">
      <c r="A14" s="878"/>
      <c r="B14" s="867"/>
      <c r="C14" s="868"/>
      <c r="D14" s="869"/>
      <c r="E14" s="879" t="s">
        <v>1021</v>
      </c>
      <c r="F14" s="880"/>
      <c r="G14" s="835"/>
      <c r="H14" s="836"/>
      <c r="I14" s="853"/>
      <c r="J14" s="881"/>
      <c r="K14" s="861"/>
      <c r="L14" s="862"/>
      <c r="M14" s="803"/>
      <c r="N14" s="813"/>
    </row>
    <row r="15" spans="1:15" ht="15.75" thickTop="1" x14ac:dyDescent="0.25">
      <c r="A15" s="498"/>
      <c r="B15" s="747" t="s">
        <v>1022</v>
      </c>
      <c r="C15" s="748"/>
      <c r="D15" s="749"/>
      <c r="E15" s="870"/>
      <c r="F15" s="846"/>
      <c r="G15" s="846"/>
      <c r="H15" s="846"/>
      <c r="I15" s="846"/>
      <c r="J15" s="871"/>
      <c r="K15" s="873">
        <f>SUM(K7:L14)</f>
        <v>0.20122340765178537</v>
      </c>
      <c r="L15" s="874"/>
      <c r="M15" s="810">
        <v>1.62</v>
      </c>
      <c r="N15" s="812">
        <v>4.45</v>
      </c>
    </row>
    <row r="16" spans="1:15" ht="15.75" thickBot="1" x14ac:dyDescent="0.3">
      <c r="B16" s="750"/>
      <c r="C16" s="751"/>
      <c r="D16" s="752"/>
      <c r="E16" s="847"/>
      <c r="F16" s="848"/>
      <c r="G16" s="848"/>
      <c r="H16" s="848"/>
      <c r="I16" s="848"/>
      <c r="J16" s="872"/>
      <c r="K16" s="875"/>
      <c r="L16" s="876"/>
      <c r="M16" s="811"/>
      <c r="N16" s="813"/>
    </row>
    <row r="17" spans="1:18" ht="15.75" thickTop="1" x14ac:dyDescent="0.25">
      <c r="L17" s="584"/>
    </row>
    <row r="18" spans="1:18" ht="15.75" thickBot="1" x14ac:dyDescent="0.3"/>
    <row r="19" spans="1:18" ht="15.75" customHeight="1" thickTop="1" x14ac:dyDescent="0.25">
      <c r="O19" s="804" t="s">
        <v>1023</v>
      </c>
      <c r="P19" s="805"/>
      <c r="Q19" s="774" t="s">
        <v>1024</v>
      </c>
      <c r="R19" s="756"/>
    </row>
    <row r="20" spans="1:18" ht="15.75" customHeight="1" thickBot="1" x14ac:dyDescent="0.3">
      <c r="O20" s="806"/>
      <c r="P20" s="807"/>
      <c r="Q20" s="746"/>
      <c r="R20" s="787"/>
    </row>
    <row r="21" spans="1:18" ht="15.75" customHeight="1" thickTop="1" x14ac:dyDescent="0.25">
      <c r="O21" s="788" t="s">
        <v>1025</v>
      </c>
      <c r="P21" s="789"/>
      <c r="Q21" s="788" t="s">
        <v>1026</v>
      </c>
      <c r="R21" s="789"/>
    </row>
    <row r="22" spans="1:18" ht="15.75" customHeight="1" thickBot="1" x14ac:dyDescent="0.3">
      <c r="O22" s="790"/>
      <c r="P22" s="791"/>
      <c r="Q22" s="819"/>
      <c r="R22" s="820"/>
    </row>
    <row r="23" spans="1:18" ht="15.75" customHeight="1" thickTop="1" x14ac:dyDescent="0.25">
      <c r="O23" s="821" t="s">
        <v>1027</v>
      </c>
      <c r="P23" s="822"/>
      <c r="Q23" s="821" t="s">
        <v>1028</v>
      </c>
      <c r="R23" s="822"/>
    </row>
    <row r="24" spans="1:18" ht="15.75" customHeight="1" thickBot="1" x14ac:dyDescent="0.3">
      <c r="O24" s="823"/>
      <c r="P24" s="824"/>
      <c r="Q24" s="825"/>
      <c r="R24" s="826"/>
    </row>
    <row r="25" spans="1:18" ht="15.75" customHeight="1" thickTop="1" x14ac:dyDescent="0.25">
      <c r="O25" s="808" t="s">
        <v>1029</v>
      </c>
      <c r="P25" s="814"/>
      <c r="Q25" s="808" t="s">
        <v>1030</v>
      </c>
      <c r="R25" s="809"/>
    </row>
    <row r="26" spans="1:18" ht="15.75" customHeight="1" thickBot="1" x14ac:dyDescent="0.3">
      <c r="O26" s="815"/>
      <c r="P26" s="816"/>
      <c r="Q26" s="794"/>
      <c r="R26" s="795"/>
    </row>
    <row r="27" spans="1:18" ht="15.75" customHeight="1" thickTop="1" x14ac:dyDescent="0.25">
      <c r="O27" s="796" t="s">
        <v>1031</v>
      </c>
      <c r="P27" s="797"/>
      <c r="Q27" s="817" t="s">
        <v>1032</v>
      </c>
      <c r="R27" s="797"/>
    </row>
    <row r="28" spans="1:18" ht="15.75" customHeight="1" thickBot="1" x14ac:dyDescent="0.3">
      <c r="O28" s="798"/>
      <c r="P28" s="799"/>
      <c r="Q28" s="818"/>
      <c r="R28" s="799"/>
    </row>
    <row r="29" spans="1:18" ht="15.75" thickTop="1" x14ac:dyDescent="0.25"/>
    <row r="30" spans="1:18" ht="15.75" thickBot="1" x14ac:dyDescent="0.3"/>
    <row r="31" spans="1:18" ht="15.75" thickTop="1" x14ac:dyDescent="0.25">
      <c r="B31" s="827" t="s">
        <v>1033</v>
      </c>
      <c r="C31" s="828"/>
      <c r="D31" s="828"/>
      <c r="E31" s="828"/>
      <c r="F31" s="828"/>
      <c r="G31" s="828"/>
      <c r="H31" s="828"/>
      <c r="I31" s="828"/>
      <c r="J31" s="828"/>
      <c r="K31" s="828"/>
      <c r="L31" s="828"/>
      <c r="M31" s="828"/>
      <c r="N31" s="829"/>
    </row>
    <row r="32" spans="1:18" ht="15.75" thickBot="1" x14ac:dyDescent="0.3">
      <c r="A32" s="434"/>
      <c r="B32" s="830"/>
      <c r="C32" s="831"/>
      <c r="D32" s="831"/>
      <c r="E32" s="831"/>
      <c r="F32" s="831"/>
      <c r="G32" s="831"/>
      <c r="H32" s="831"/>
      <c r="I32" s="831"/>
      <c r="J32" s="831"/>
      <c r="K32" s="831"/>
      <c r="L32" s="831"/>
      <c r="M32" s="831"/>
      <c r="N32" s="832"/>
    </row>
    <row r="33" spans="1:15" ht="16.5" thickTop="1" thickBot="1" x14ac:dyDescent="0.3">
      <c r="B33" s="433"/>
      <c r="C33" s="488"/>
      <c r="D33" s="433"/>
      <c r="E33" s="433"/>
      <c r="F33" s="433"/>
      <c r="G33" s="433"/>
      <c r="H33" s="488"/>
      <c r="I33" s="433"/>
      <c r="J33" s="433"/>
      <c r="K33" s="433"/>
      <c r="L33" s="433"/>
      <c r="M33" s="433"/>
      <c r="N33" s="433"/>
    </row>
    <row r="34" spans="1:15" ht="20.25" customHeight="1" thickTop="1" thickBot="1" x14ac:dyDescent="0.3">
      <c r="B34" s="741" t="s">
        <v>1005</v>
      </c>
      <c r="C34" s="693"/>
      <c r="D34" s="693"/>
      <c r="E34" s="741" t="s">
        <v>1006</v>
      </c>
      <c r="F34" s="694"/>
      <c r="G34" s="747" t="s">
        <v>3</v>
      </c>
      <c r="H34" s="749"/>
      <c r="I34" s="741" t="s">
        <v>1007</v>
      </c>
      <c r="J34" s="693"/>
      <c r="K34" s="741" t="s">
        <v>1008</v>
      </c>
      <c r="L34" s="693"/>
      <c r="M34" s="800" t="s">
        <v>1009</v>
      </c>
      <c r="N34" s="884"/>
    </row>
    <row r="35" spans="1:15" ht="30.75" customHeight="1" thickTop="1" thickBot="1" x14ac:dyDescent="0.3">
      <c r="B35" s="695"/>
      <c r="C35" s="696"/>
      <c r="D35" s="696"/>
      <c r="E35" s="695"/>
      <c r="F35" s="697"/>
      <c r="G35" s="695" t="s">
        <v>1010</v>
      </c>
      <c r="H35" s="697"/>
      <c r="I35" s="695"/>
      <c r="J35" s="696"/>
      <c r="K35" s="863"/>
      <c r="L35" s="864"/>
      <c r="M35" s="554" t="s">
        <v>1011</v>
      </c>
      <c r="N35" s="555" t="s">
        <v>1012</v>
      </c>
    </row>
    <row r="36" spans="1:15" ht="15.75" thickTop="1" x14ac:dyDescent="0.25">
      <c r="A36" s="877" t="s">
        <v>954</v>
      </c>
      <c r="B36" s="840" t="s">
        <v>1013</v>
      </c>
      <c r="C36" s="865"/>
      <c r="D36" s="865"/>
      <c r="E36" s="885" t="s">
        <v>1014</v>
      </c>
      <c r="F36" s="886"/>
      <c r="G36" s="895">
        <f>'FINANCIAL RATIOS'!G3/'BALANCE SHEET'!L34</f>
        <v>-4.6336758260549352E-2</v>
      </c>
      <c r="H36" s="896"/>
      <c r="I36" s="895">
        <v>1.2</v>
      </c>
      <c r="J36" s="896"/>
      <c r="K36" s="859">
        <f>G36*I36</f>
        <v>-5.5604109912659218E-2</v>
      </c>
      <c r="L36" s="860"/>
      <c r="M36" s="802">
        <v>-0.06</v>
      </c>
      <c r="N36" s="812">
        <v>0.41</v>
      </c>
    </row>
    <row r="37" spans="1:15" ht="15.75" thickBot="1" x14ac:dyDescent="0.3">
      <c r="A37" s="878"/>
      <c r="B37" s="867"/>
      <c r="C37" s="868"/>
      <c r="D37" s="868"/>
      <c r="E37" s="887" t="s">
        <v>1015</v>
      </c>
      <c r="F37" s="888"/>
      <c r="G37" s="897"/>
      <c r="H37" s="898"/>
      <c r="I37" s="897"/>
      <c r="J37" s="898"/>
      <c r="K37" s="861"/>
      <c r="L37" s="862"/>
      <c r="M37" s="803"/>
      <c r="N37" s="813"/>
    </row>
    <row r="38" spans="1:15" ht="15.75" thickTop="1" x14ac:dyDescent="0.25">
      <c r="A38" s="877" t="s">
        <v>959</v>
      </c>
      <c r="B38" s="840" t="s">
        <v>1016</v>
      </c>
      <c r="C38" s="865"/>
      <c r="D38" s="866"/>
      <c r="E38" s="889" t="s">
        <v>1017</v>
      </c>
      <c r="F38" s="890"/>
      <c r="G38" s="895">
        <f>('BALANCE SHEET'!L59+'BALANCE SHEET'!L60)/'BALANCE SHEET'!L34</f>
        <v>-4.6497676200388867E-2</v>
      </c>
      <c r="H38" s="896"/>
      <c r="I38" s="895">
        <v>1.4</v>
      </c>
      <c r="J38" s="896"/>
      <c r="K38" s="893">
        <f>G38*I38</f>
        <v>-6.5096746680544409E-2</v>
      </c>
      <c r="L38" s="894"/>
      <c r="M38" s="802">
        <v>-0.63</v>
      </c>
      <c r="N38" s="812">
        <v>0.36</v>
      </c>
    </row>
    <row r="39" spans="1:15" ht="15.75" thickBot="1" x14ac:dyDescent="0.3">
      <c r="A39" s="878"/>
      <c r="B39" s="867"/>
      <c r="C39" s="868"/>
      <c r="D39" s="869"/>
      <c r="E39" s="891" t="s">
        <v>1015</v>
      </c>
      <c r="F39" s="892"/>
      <c r="G39" s="899"/>
      <c r="H39" s="900"/>
      <c r="I39" s="897"/>
      <c r="J39" s="898"/>
      <c r="K39" s="893"/>
      <c r="L39" s="894"/>
      <c r="M39" s="803"/>
      <c r="N39" s="813"/>
    </row>
    <row r="40" spans="1:15" ht="15.75" thickTop="1" x14ac:dyDescent="0.25">
      <c r="A40" s="877" t="s">
        <v>961</v>
      </c>
      <c r="B40" s="882" t="s">
        <v>1018</v>
      </c>
      <c r="C40" s="883"/>
      <c r="D40" s="883"/>
      <c r="E40" s="889" t="s">
        <v>957</v>
      </c>
      <c r="F40" s="890"/>
      <c r="G40" s="897">
        <f>'INCOME STATEMENT'!Q22/'BALANCE SHEET'!L34</f>
        <v>4.7457477529502572E-2</v>
      </c>
      <c r="H40" s="898"/>
      <c r="I40" s="895">
        <v>3.3</v>
      </c>
      <c r="J40" s="896"/>
      <c r="K40" s="859">
        <f>G40*I40</f>
        <v>0.15660967584735846</v>
      </c>
      <c r="L40" s="860"/>
      <c r="M40" s="802">
        <v>-0.32</v>
      </c>
      <c r="N40" s="812">
        <v>0.15</v>
      </c>
    </row>
    <row r="41" spans="1:15" ht="15.75" thickBot="1" x14ac:dyDescent="0.3">
      <c r="A41" s="878"/>
      <c r="B41" s="867"/>
      <c r="C41" s="868"/>
      <c r="D41" s="868"/>
      <c r="E41" s="891" t="s">
        <v>1015</v>
      </c>
      <c r="F41" s="892"/>
      <c r="G41" s="897"/>
      <c r="H41" s="898"/>
      <c r="I41" s="897"/>
      <c r="J41" s="898"/>
      <c r="K41" s="861"/>
      <c r="L41" s="862"/>
      <c r="M41" s="803"/>
      <c r="N41" s="813"/>
    </row>
    <row r="42" spans="1:15" ht="15.75" thickTop="1" x14ac:dyDescent="0.25">
      <c r="A42" s="877" t="s">
        <v>963</v>
      </c>
      <c r="B42" s="882" t="s">
        <v>1019</v>
      </c>
      <c r="C42" s="883"/>
      <c r="D42" s="883"/>
      <c r="E42" s="905" t="s">
        <v>1034</v>
      </c>
      <c r="F42" s="906"/>
      <c r="G42" s="901">
        <f>'STOCK RETURNS &amp; BETA'!B2*'INCOME STATEMENT'!Q35/(('BALANCE SHEET'!L47+'BALANCE SHEET'!L53)*1000)</f>
        <v>0.6439112888222025</v>
      </c>
      <c r="H42" s="902"/>
      <c r="I42" s="895">
        <v>0.6</v>
      </c>
      <c r="J42" s="896"/>
      <c r="K42" s="893">
        <f>G42*I42</f>
        <v>0.38634677329332151</v>
      </c>
      <c r="L42" s="894"/>
      <c r="M42" s="802">
        <v>0.4</v>
      </c>
      <c r="N42" s="812">
        <v>2.48</v>
      </c>
      <c r="O42" s="432"/>
    </row>
    <row r="43" spans="1:15" ht="15.75" thickBot="1" x14ac:dyDescent="0.3">
      <c r="A43" s="878"/>
      <c r="B43" s="882"/>
      <c r="C43" s="883"/>
      <c r="D43" s="883"/>
      <c r="E43" s="891" t="s">
        <v>1021</v>
      </c>
      <c r="F43" s="892"/>
      <c r="G43" s="903"/>
      <c r="H43" s="904"/>
      <c r="I43" s="897"/>
      <c r="J43" s="898"/>
      <c r="K43" s="893"/>
      <c r="L43" s="894"/>
      <c r="M43" s="803"/>
      <c r="N43" s="813"/>
    </row>
    <row r="44" spans="1:15" ht="15.75" thickTop="1" x14ac:dyDescent="0.25">
      <c r="A44" s="877" t="s">
        <v>966</v>
      </c>
      <c r="B44" s="840" t="s">
        <v>1035</v>
      </c>
      <c r="C44" s="865"/>
      <c r="D44" s="866"/>
      <c r="E44" s="889" t="s">
        <v>1036</v>
      </c>
      <c r="F44" s="890"/>
      <c r="G44" s="895">
        <f>'INCOME STATEMENT'!Q5/'BALANCE SHEET'!L34</f>
        <v>0.1147729135923922</v>
      </c>
      <c r="H44" s="896"/>
      <c r="I44" s="895">
        <v>1</v>
      </c>
      <c r="J44" s="896"/>
      <c r="K44" s="859">
        <f>G44*I44</f>
        <v>0.1147729135923922</v>
      </c>
      <c r="L44" s="860"/>
      <c r="M44" s="802">
        <v>1.5</v>
      </c>
      <c r="N44" s="812">
        <v>1.9</v>
      </c>
    </row>
    <row r="45" spans="1:15" ht="15.75" thickBot="1" x14ac:dyDescent="0.3">
      <c r="A45" s="878"/>
      <c r="B45" s="867"/>
      <c r="C45" s="868"/>
      <c r="D45" s="869"/>
      <c r="E45" s="891" t="s">
        <v>1015</v>
      </c>
      <c r="F45" s="892"/>
      <c r="G45" s="899"/>
      <c r="H45" s="900"/>
      <c r="I45" s="899"/>
      <c r="J45" s="900"/>
      <c r="K45" s="861"/>
      <c r="L45" s="862"/>
      <c r="M45" s="803"/>
      <c r="N45" s="813"/>
    </row>
    <row r="46" spans="1:15" ht="15.75" thickTop="1" x14ac:dyDescent="0.25">
      <c r="A46" s="584"/>
      <c r="B46" s="747" t="s">
        <v>1022</v>
      </c>
      <c r="C46" s="748"/>
      <c r="D46" s="748"/>
      <c r="E46" s="870"/>
      <c r="F46" s="846"/>
      <c r="G46" s="846"/>
      <c r="H46" s="846"/>
      <c r="I46" s="846"/>
      <c r="J46" s="846"/>
      <c r="K46" s="873">
        <f>SUM(K36:L45)</f>
        <v>0.53702850613986852</v>
      </c>
      <c r="L46" s="907"/>
      <c r="M46" s="810">
        <v>-4.0599999999999996</v>
      </c>
      <c r="N46" s="910">
        <v>7.7</v>
      </c>
      <c r="O46" s="432"/>
    </row>
    <row r="47" spans="1:15" ht="15.75" thickBot="1" x14ac:dyDescent="0.3">
      <c r="B47" s="750"/>
      <c r="C47" s="751"/>
      <c r="D47" s="751"/>
      <c r="E47" s="847"/>
      <c r="F47" s="848"/>
      <c r="G47" s="848"/>
      <c r="H47" s="848"/>
      <c r="I47" s="848"/>
      <c r="J47" s="848"/>
      <c r="K47" s="875"/>
      <c r="L47" s="908"/>
      <c r="M47" s="909"/>
      <c r="N47" s="911"/>
      <c r="O47" s="432"/>
    </row>
    <row r="48" spans="1:15" ht="15.75" thickTop="1" x14ac:dyDescent="0.25">
      <c r="M48" s="584"/>
      <c r="N48" s="584"/>
    </row>
    <row r="49" spans="15:18" ht="15.75" thickBot="1" x14ac:dyDescent="0.3"/>
    <row r="50" spans="15:18" ht="15.75" thickTop="1" x14ac:dyDescent="0.25">
      <c r="O50" s="804" t="s">
        <v>1023</v>
      </c>
      <c r="P50" s="805"/>
      <c r="Q50" s="774" t="s">
        <v>1024</v>
      </c>
      <c r="R50" s="756"/>
    </row>
    <row r="51" spans="15:18" ht="15.75" thickBot="1" x14ac:dyDescent="0.3">
      <c r="O51" s="806"/>
      <c r="P51" s="807"/>
      <c r="Q51" s="746"/>
      <c r="R51" s="787"/>
    </row>
    <row r="52" spans="15:18" ht="15.75" thickTop="1" x14ac:dyDescent="0.25">
      <c r="O52" s="788" t="s">
        <v>1037</v>
      </c>
      <c r="P52" s="789"/>
      <c r="Q52" s="788" t="s">
        <v>1028</v>
      </c>
      <c r="R52" s="789"/>
    </row>
    <row r="53" spans="15:18" ht="15.75" thickBot="1" x14ac:dyDescent="0.3">
      <c r="O53" s="790"/>
      <c r="P53" s="791"/>
      <c r="Q53" s="790"/>
      <c r="R53" s="791"/>
    </row>
    <row r="54" spans="15:18" ht="15.75" thickTop="1" x14ac:dyDescent="0.25">
      <c r="O54" s="808" t="s">
        <v>1038</v>
      </c>
      <c r="P54" s="809"/>
      <c r="Q54" s="792" t="s">
        <v>1030</v>
      </c>
      <c r="R54" s="793"/>
    </row>
    <row r="55" spans="15:18" ht="15.75" thickBot="1" x14ac:dyDescent="0.3">
      <c r="O55" s="794"/>
      <c r="P55" s="795"/>
      <c r="Q55" s="794"/>
      <c r="R55" s="795"/>
    </row>
    <row r="56" spans="15:18" ht="15.75" thickTop="1" x14ac:dyDescent="0.25">
      <c r="O56" s="796" t="s">
        <v>1039</v>
      </c>
      <c r="P56" s="797"/>
      <c r="Q56" s="796" t="s">
        <v>1032</v>
      </c>
      <c r="R56" s="797"/>
    </row>
    <row r="57" spans="15:18" ht="15.75" thickBot="1" x14ac:dyDescent="0.3">
      <c r="O57" s="798"/>
      <c r="P57" s="799"/>
      <c r="Q57" s="798"/>
      <c r="R57" s="799"/>
    </row>
    <row r="58" spans="15:18" ht="15.75" thickTop="1" x14ac:dyDescent="0.25"/>
  </sheetData>
  <mergeCells count="125">
    <mergeCell ref="B46:D47"/>
    <mergeCell ref="E46:J47"/>
    <mergeCell ref="K46:L47"/>
    <mergeCell ref="M46:M47"/>
    <mergeCell ref="N46:N47"/>
    <mergeCell ref="M40:M41"/>
    <mergeCell ref="N40:N41"/>
    <mergeCell ref="M42:M43"/>
    <mergeCell ref="N42:N43"/>
    <mergeCell ref="M44:M45"/>
    <mergeCell ref="N44:N45"/>
    <mergeCell ref="K40:L41"/>
    <mergeCell ref="K42:L43"/>
    <mergeCell ref="K44:L45"/>
    <mergeCell ref="I40:J41"/>
    <mergeCell ref="I42:J43"/>
    <mergeCell ref="I44:J45"/>
    <mergeCell ref="E45:F45"/>
    <mergeCell ref="G36:H37"/>
    <mergeCell ref="G38:H39"/>
    <mergeCell ref="G40:H41"/>
    <mergeCell ref="I36:J37"/>
    <mergeCell ref="I38:J39"/>
    <mergeCell ref="G42:H43"/>
    <mergeCell ref="G44:H45"/>
    <mergeCell ref="E40:F40"/>
    <mergeCell ref="E41:F41"/>
    <mergeCell ref="E42:F42"/>
    <mergeCell ref="E43:F43"/>
    <mergeCell ref="E44:F44"/>
    <mergeCell ref="A40:A41"/>
    <mergeCell ref="A42:A43"/>
    <mergeCell ref="A44:A45"/>
    <mergeCell ref="B36:D37"/>
    <mergeCell ref="B38:D39"/>
    <mergeCell ref="B40:D41"/>
    <mergeCell ref="B42:D43"/>
    <mergeCell ref="B44:D45"/>
    <mergeCell ref="M34:N34"/>
    <mergeCell ref="G34:H34"/>
    <mergeCell ref="G35:H35"/>
    <mergeCell ref="A36:A37"/>
    <mergeCell ref="A38:A39"/>
    <mergeCell ref="E36:F36"/>
    <mergeCell ref="E37:F37"/>
    <mergeCell ref="E38:F38"/>
    <mergeCell ref="E39:F39"/>
    <mergeCell ref="K36:L37"/>
    <mergeCell ref="K38:L39"/>
    <mergeCell ref="M36:M37"/>
    <mergeCell ref="N36:N37"/>
    <mergeCell ref="M38:M39"/>
    <mergeCell ref="N38:N39"/>
    <mergeCell ref="B34:D35"/>
    <mergeCell ref="A7:A8"/>
    <mergeCell ref="A9:A10"/>
    <mergeCell ref="A11:A12"/>
    <mergeCell ref="A13:A14"/>
    <mergeCell ref="K11:L12"/>
    <mergeCell ref="K13:L14"/>
    <mergeCell ref="B13:D14"/>
    <mergeCell ref="E14:F14"/>
    <mergeCell ref="E12:F12"/>
    <mergeCell ref="E13:F13"/>
    <mergeCell ref="E10:F10"/>
    <mergeCell ref="I13:J14"/>
    <mergeCell ref="K5:L6"/>
    <mergeCell ref="K7:L8"/>
    <mergeCell ref="K9:L10"/>
    <mergeCell ref="E34:F35"/>
    <mergeCell ref="I34:J35"/>
    <mergeCell ref="K34:L35"/>
    <mergeCell ref="B11:D12"/>
    <mergeCell ref="I11:J12"/>
    <mergeCell ref="B31:N32"/>
    <mergeCell ref="B15:D16"/>
    <mergeCell ref="E15:J16"/>
    <mergeCell ref="K15:L16"/>
    <mergeCell ref="B2:N3"/>
    <mergeCell ref="M11:M12"/>
    <mergeCell ref="M13:M14"/>
    <mergeCell ref="N7:N8"/>
    <mergeCell ref="N9:N10"/>
    <mergeCell ref="N13:N14"/>
    <mergeCell ref="N11:N12"/>
    <mergeCell ref="G5:H5"/>
    <mergeCell ref="G6:H6"/>
    <mergeCell ref="G9:H10"/>
    <mergeCell ref="G11:H12"/>
    <mergeCell ref="G13:H14"/>
    <mergeCell ref="B5:D6"/>
    <mergeCell ref="E5:F6"/>
    <mergeCell ref="B7:D8"/>
    <mergeCell ref="B9:D10"/>
    <mergeCell ref="E11:F11"/>
    <mergeCell ref="I5:J6"/>
    <mergeCell ref="I7:J8"/>
    <mergeCell ref="I9:J10"/>
    <mergeCell ref="G7:H8"/>
    <mergeCell ref="E7:F7"/>
    <mergeCell ref="E8:F8"/>
    <mergeCell ref="E9:F9"/>
    <mergeCell ref="Q50:R51"/>
    <mergeCell ref="Q52:R53"/>
    <mergeCell ref="Q54:R55"/>
    <mergeCell ref="Q56:R57"/>
    <mergeCell ref="M5:N5"/>
    <mergeCell ref="M7:M8"/>
    <mergeCell ref="M9:M10"/>
    <mergeCell ref="O50:P51"/>
    <mergeCell ref="O52:P53"/>
    <mergeCell ref="O54:P55"/>
    <mergeCell ref="O56:P57"/>
    <mergeCell ref="M15:M16"/>
    <mergeCell ref="N15:N16"/>
    <mergeCell ref="O25:P26"/>
    <mergeCell ref="Q25:R26"/>
    <mergeCell ref="O27:P28"/>
    <mergeCell ref="Q27:R28"/>
    <mergeCell ref="O19:P20"/>
    <mergeCell ref="Q19:R20"/>
    <mergeCell ref="O21:P22"/>
    <mergeCell ref="Q21:R22"/>
    <mergeCell ref="O23:P24"/>
    <mergeCell ref="Q23:R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BALANCE SHEET</vt:lpstr>
      <vt:lpstr>INCOME STATEMENT</vt:lpstr>
      <vt:lpstr>CASH FLOW STATEMENT</vt:lpstr>
      <vt:lpstr>FINANCIAL RATIOS</vt:lpstr>
      <vt:lpstr>STOCK RETURNS &amp; BETA</vt:lpstr>
      <vt:lpstr>WACC</vt:lpstr>
      <vt:lpstr>BENCHMARKING</vt:lpstr>
      <vt:lpstr>SPACE</vt:lpstr>
      <vt:lpstr>ALTMAN'S Z-SCORE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Voula</dc:creator>
  <cp:lastModifiedBy>PANTEION</cp:lastModifiedBy>
  <cp:revision/>
  <dcterms:created xsi:type="dcterms:W3CDTF">2013-11-24T20:07:26Z</dcterms:created>
  <dcterms:modified xsi:type="dcterms:W3CDTF">2023-04-25T15:36:24Z</dcterms:modified>
</cp:coreProperties>
</file>