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NTEION\Desktop\"/>
    </mc:Choice>
  </mc:AlternateContent>
  <xr:revisionPtr revIDLastSave="0" documentId="8_{0AB1DF25-0649-444E-B058-3906493A3CD8}" xr6:coauthVersionLast="47" xr6:coauthVersionMax="47" xr10:uidLastSave="{00000000-0000-0000-0000-000000000000}"/>
  <bookViews>
    <workbookView xWindow="-120" yWindow="-120" windowWidth="20730" windowHeight="11160" tabRatio="991" xr2:uid="{00000000-000D-0000-FFFF-FFFF00000000}"/>
  </bookViews>
  <sheets>
    <sheet name="Μοντελοποίηση" sheetId="1" r:id="rId1"/>
    <sheet name="CHARTS" sheetId="2" r:id="rId2"/>
  </sheets>
  <definedNames>
    <definedName name="Α1">Μοντελοποίηση!$Q$190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3" i="1" l="1"/>
  <c r="C170" i="1" s="1"/>
  <c r="N173" i="1"/>
  <c r="D170" i="1" s="1"/>
  <c r="O173" i="1"/>
  <c r="E170" i="1" s="1"/>
  <c r="P173" i="1"/>
  <c r="F170" i="1" s="1"/>
  <c r="Q173" i="1"/>
  <c r="G170" i="1" s="1"/>
  <c r="R173" i="1"/>
  <c r="H170" i="1" s="1"/>
  <c r="S173" i="1"/>
  <c r="I170" i="1" s="1"/>
  <c r="T173" i="1"/>
  <c r="J170" i="1" s="1"/>
  <c r="L173" i="1"/>
  <c r="B170" i="1" s="1"/>
  <c r="J215" i="1" l="1"/>
  <c r="J195" i="1" l="1"/>
  <c r="C195" i="1" l="1"/>
  <c r="B195" i="1"/>
  <c r="D195" i="1"/>
  <c r="E195" i="1"/>
  <c r="F195" i="1"/>
  <c r="G195" i="1"/>
  <c r="H195" i="1"/>
  <c r="I247" i="1" l="1"/>
  <c r="C216" i="1"/>
  <c r="B126" i="1"/>
  <c r="C126" i="1"/>
  <c r="D126" i="1"/>
  <c r="E126" i="1"/>
  <c r="F126" i="1"/>
  <c r="B216" i="1"/>
  <c r="D216" i="1"/>
  <c r="E216" i="1"/>
  <c r="F216" i="1"/>
  <c r="G216" i="1"/>
  <c r="H216" i="1"/>
  <c r="I216" i="1"/>
  <c r="J216" i="1"/>
  <c r="J217" i="1" s="1"/>
  <c r="B215" i="1"/>
  <c r="C215" i="1"/>
  <c r="D215" i="1"/>
  <c r="E215" i="1"/>
  <c r="F215" i="1"/>
  <c r="G215" i="1"/>
  <c r="H215" i="1"/>
  <c r="C76" i="1"/>
  <c r="B32" i="1"/>
  <c r="C32" i="1"/>
  <c r="D32" i="1"/>
  <c r="E32" i="1"/>
  <c r="B25" i="1"/>
  <c r="C25" i="1"/>
  <c r="D25" i="1"/>
  <c r="E25" i="1"/>
  <c r="F25" i="1"/>
  <c r="H125" i="1"/>
  <c r="C247" i="1" l="1"/>
  <c r="B171" i="1" l="1"/>
  <c r="B226" i="1" s="1"/>
  <c r="B227" i="1" s="1"/>
  <c r="C171" i="1"/>
  <c r="D171" i="1"/>
  <c r="D226" i="1" s="1"/>
  <c r="D227" i="1" s="1"/>
  <c r="E171" i="1"/>
  <c r="E226" i="1" s="1"/>
  <c r="E227" i="1" s="1"/>
  <c r="F171" i="1"/>
  <c r="F226" i="1" s="1"/>
  <c r="F227" i="1" s="1"/>
  <c r="G171" i="1"/>
  <c r="H171" i="1"/>
  <c r="H226" i="1" s="1"/>
  <c r="H227" i="1" s="1"/>
  <c r="I171" i="1"/>
  <c r="J171" i="1"/>
  <c r="B125" i="1"/>
  <c r="C125" i="1"/>
  <c r="D125" i="1"/>
  <c r="E125" i="1"/>
  <c r="F125" i="1"/>
  <c r="G125" i="1"/>
  <c r="I125" i="1"/>
  <c r="J125" i="1"/>
  <c r="D198" i="1"/>
  <c r="D261" i="1" s="1"/>
  <c r="E198" i="1"/>
  <c r="E261" i="1" s="1"/>
  <c r="G198" i="1"/>
  <c r="G261" i="1" s="1"/>
  <c r="H198" i="1"/>
  <c r="H261" i="1" s="1"/>
  <c r="J198" i="1"/>
  <c r="J257" i="1"/>
  <c r="I257" i="1"/>
  <c r="H257" i="1"/>
  <c r="G257" i="1"/>
  <c r="F257" i="1"/>
  <c r="E257" i="1"/>
  <c r="D257" i="1"/>
  <c r="C257" i="1"/>
  <c r="B257" i="1"/>
  <c r="J256" i="1"/>
  <c r="I256" i="1"/>
  <c r="H256" i="1"/>
  <c r="G256" i="1"/>
  <c r="F256" i="1"/>
  <c r="E256" i="1"/>
  <c r="D256" i="1"/>
  <c r="C256" i="1"/>
  <c r="B256" i="1"/>
  <c r="J255" i="1"/>
  <c r="I255" i="1"/>
  <c r="H255" i="1"/>
  <c r="G255" i="1"/>
  <c r="F255" i="1"/>
  <c r="E255" i="1"/>
  <c r="C255" i="1"/>
  <c r="B255" i="1"/>
  <c r="J247" i="1"/>
  <c r="H247" i="1"/>
  <c r="G247" i="1"/>
  <c r="F247" i="1"/>
  <c r="E247" i="1"/>
  <c r="D247" i="1"/>
  <c r="J245" i="1"/>
  <c r="I245" i="1"/>
  <c r="H245" i="1"/>
  <c r="G245" i="1"/>
  <c r="F245" i="1"/>
  <c r="E245" i="1"/>
  <c r="D245" i="1"/>
  <c r="C245" i="1"/>
  <c r="B245" i="1"/>
  <c r="J234" i="1"/>
  <c r="I234" i="1"/>
  <c r="H234" i="1"/>
  <c r="G234" i="1"/>
  <c r="F234" i="1"/>
  <c r="E234" i="1"/>
  <c r="D234" i="1"/>
  <c r="C234" i="1"/>
  <c r="B234" i="1"/>
  <c r="J226" i="1"/>
  <c r="J227" i="1" s="1"/>
  <c r="C226" i="1"/>
  <c r="C227" i="1" s="1"/>
  <c r="H217" i="1"/>
  <c r="G217" i="1"/>
  <c r="F217" i="1"/>
  <c r="E217" i="1"/>
  <c r="D217" i="1"/>
  <c r="C217" i="1"/>
  <c r="B217" i="1"/>
  <c r="I215" i="1"/>
  <c r="I217" i="1" s="1"/>
  <c r="I198" i="1"/>
  <c r="I261" i="1" s="1"/>
  <c r="I195" i="1"/>
  <c r="E189" i="1"/>
  <c r="E194" i="1" s="1"/>
  <c r="D189" i="1"/>
  <c r="D194" i="1" s="1"/>
  <c r="C189" i="1"/>
  <c r="C194" i="1" s="1"/>
  <c r="B189" i="1"/>
  <c r="B194" i="1" s="1"/>
  <c r="E178" i="1"/>
  <c r="D178" i="1"/>
  <c r="C178" i="1"/>
  <c r="B178" i="1"/>
  <c r="J161" i="1"/>
  <c r="J163" i="1" s="1"/>
  <c r="I161" i="1"/>
  <c r="I163" i="1" s="1"/>
  <c r="H161" i="1"/>
  <c r="H163" i="1" s="1"/>
  <c r="G161" i="1"/>
  <c r="G163" i="1" s="1"/>
  <c r="F161" i="1"/>
  <c r="F163" i="1" s="1"/>
  <c r="E161" i="1"/>
  <c r="E163" i="1" s="1"/>
  <c r="D161" i="1"/>
  <c r="D163" i="1" s="1"/>
  <c r="C161" i="1"/>
  <c r="C163" i="1" s="1"/>
  <c r="B161" i="1"/>
  <c r="B163" i="1" s="1"/>
  <c r="E154" i="1"/>
  <c r="D154" i="1"/>
  <c r="C154" i="1"/>
  <c r="B154" i="1"/>
  <c r="J126" i="1"/>
  <c r="I126" i="1"/>
  <c r="H126" i="1"/>
  <c r="G126" i="1"/>
  <c r="J102" i="1"/>
  <c r="F11" i="2" s="1"/>
  <c r="I102" i="1"/>
  <c r="F10" i="2" s="1"/>
  <c r="H102" i="1"/>
  <c r="F9" i="2" s="1"/>
  <c r="G102" i="1"/>
  <c r="F8" i="2" s="1"/>
  <c r="F102" i="1"/>
  <c r="F7" i="2" s="1"/>
  <c r="E102" i="1"/>
  <c r="F6" i="2" s="1"/>
  <c r="D102" i="1"/>
  <c r="F5" i="2" s="1"/>
  <c r="C102" i="1"/>
  <c r="F4" i="2" s="1"/>
  <c r="B102" i="1"/>
  <c r="F3" i="2" s="1"/>
  <c r="J101" i="1"/>
  <c r="E11" i="2" s="1"/>
  <c r="I101" i="1"/>
  <c r="E10" i="2" s="1"/>
  <c r="H101" i="1"/>
  <c r="E9" i="2" s="1"/>
  <c r="G101" i="1"/>
  <c r="E8" i="2" s="1"/>
  <c r="F101" i="1"/>
  <c r="E7" i="2" s="1"/>
  <c r="E101" i="1"/>
  <c r="E6" i="2" s="1"/>
  <c r="D101" i="1"/>
  <c r="E5" i="2" s="1"/>
  <c r="C101" i="1"/>
  <c r="E4" i="2" s="1"/>
  <c r="B101" i="1"/>
  <c r="E3" i="2" s="1"/>
  <c r="J84" i="1"/>
  <c r="I84" i="1"/>
  <c r="H84" i="1"/>
  <c r="G84" i="1"/>
  <c r="F84" i="1"/>
  <c r="E84" i="1"/>
  <c r="D84" i="1"/>
  <c r="C84" i="1"/>
  <c r="B84" i="1"/>
  <c r="J76" i="1"/>
  <c r="I76" i="1"/>
  <c r="H76" i="1"/>
  <c r="G76" i="1"/>
  <c r="F76" i="1"/>
  <c r="E76" i="1"/>
  <c r="D76" i="1"/>
  <c r="B76" i="1"/>
  <c r="J61" i="1"/>
  <c r="I61" i="1"/>
  <c r="H61" i="1"/>
  <c r="G61" i="1"/>
  <c r="F61" i="1"/>
  <c r="E61" i="1"/>
  <c r="D61" i="1"/>
  <c r="C61" i="1"/>
  <c r="B61" i="1"/>
  <c r="J60" i="1"/>
  <c r="I60" i="1"/>
  <c r="H60" i="1"/>
  <c r="G60" i="1"/>
  <c r="F50" i="1"/>
  <c r="F60" i="1" s="1"/>
  <c r="E50" i="1"/>
  <c r="E60" i="1" s="1"/>
  <c r="D50" i="1"/>
  <c r="D60" i="1" s="1"/>
  <c r="C50" i="1"/>
  <c r="C60" i="1" s="1"/>
  <c r="B50" i="1"/>
  <c r="B60" i="1" s="1"/>
  <c r="F46" i="1"/>
  <c r="E46" i="1"/>
  <c r="D46" i="1"/>
  <c r="C46" i="1"/>
  <c r="B46" i="1"/>
  <c r="J44" i="1"/>
  <c r="J48" i="1" s="1"/>
  <c r="I44" i="1"/>
  <c r="I48" i="1" s="1"/>
  <c r="H44" i="1"/>
  <c r="H48" i="1" s="1"/>
  <c r="G44" i="1"/>
  <c r="G48" i="1" s="1"/>
  <c r="F44" i="1"/>
  <c r="E44" i="1"/>
  <c r="D44" i="1"/>
  <c r="C44" i="1"/>
  <c r="B44" i="1"/>
  <c r="J34" i="1"/>
  <c r="J192" i="1" s="1"/>
  <c r="J200" i="1" s="1"/>
  <c r="I34" i="1"/>
  <c r="I192" i="1" s="1"/>
  <c r="I200" i="1" s="1"/>
  <c r="H34" i="1"/>
  <c r="H192" i="1" s="1"/>
  <c r="H200" i="1" s="1"/>
  <c r="G34" i="1"/>
  <c r="G192" i="1" s="1"/>
  <c r="G200" i="1" s="1"/>
  <c r="F34" i="1"/>
  <c r="F192" i="1" s="1"/>
  <c r="F200" i="1" s="1"/>
  <c r="E34" i="1"/>
  <c r="E192" i="1" s="1"/>
  <c r="E200" i="1" s="1"/>
  <c r="D34" i="1"/>
  <c r="D192" i="1" s="1"/>
  <c r="D200" i="1" s="1"/>
  <c r="C34" i="1"/>
  <c r="C192" i="1" s="1"/>
  <c r="C200" i="1" s="1"/>
  <c r="B34" i="1"/>
  <c r="B192" i="1" s="1"/>
  <c r="B200" i="1" s="1"/>
  <c r="J25" i="1"/>
  <c r="I25" i="1"/>
  <c r="H25" i="1"/>
  <c r="G25" i="1"/>
  <c r="J21" i="1"/>
  <c r="I21" i="1"/>
  <c r="H21" i="1"/>
  <c r="G21" i="1"/>
  <c r="F21" i="1"/>
  <c r="F27" i="1" s="1"/>
  <c r="E21" i="1"/>
  <c r="D21" i="1"/>
  <c r="C21" i="1"/>
  <c r="B21" i="1"/>
  <c r="J15" i="1"/>
  <c r="I15" i="1"/>
  <c r="H15" i="1"/>
  <c r="G15" i="1"/>
  <c r="F15" i="1"/>
  <c r="E15" i="1"/>
  <c r="D15" i="1"/>
  <c r="C15" i="1"/>
  <c r="B15" i="1"/>
  <c r="J9" i="1"/>
  <c r="I9" i="1"/>
  <c r="H9" i="1"/>
  <c r="G9" i="1"/>
  <c r="B9" i="1"/>
  <c r="F8" i="1"/>
  <c r="F9" i="1" s="1"/>
  <c r="E8" i="1"/>
  <c r="E9" i="1" s="1"/>
  <c r="D8" i="1"/>
  <c r="D9" i="1" s="1"/>
  <c r="C8" i="1"/>
  <c r="C9" i="1" s="1"/>
  <c r="E172" i="1" l="1"/>
  <c r="B247" i="1"/>
  <c r="C172" i="1"/>
  <c r="C198" i="1"/>
  <c r="C261" i="1" s="1"/>
  <c r="C196" i="1"/>
  <c r="F172" i="1"/>
  <c r="F198" i="1"/>
  <c r="F261" i="1" s="1"/>
  <c r="B172" i="1"/>
  <c r="B198" i="1"/>
  <c r="B261" i="1" s="1"/>
  <c r="G172" i="1"/>
  <c r="C17" i="1"/>
  <c r="C176" i="1" s="1"/>
  <c r="J114" i="1"/>
  <c r="R11" i="2" s="1"/>
  <c r="D17" i="1"/>
  <c r="D176" i="1" s="1"/>
  <c r="G17" i="1"/>
  <c r="G132" i="1" s="1"/>
  <c r="B236" i="1"/>
  <c r="B99" i="1"/>
  <c r="C3" i="2" s="1"/>
  <c r="F236" i="1"/>
  <c r="D172" i="1"/>
  <c r="J17" i="1"/>
  <c r="J176" i="1" s="1"/>
  <c r="I236" i="1"/>
  <c r="I17" i="1"/>
  <c r="I152" i="1" s="1"/>
  <c r="E17" i="1"/>
  <c r="E132" i="1" s="1"/>
  <c r="H17" i="1"/>
  <c r="H152" i="1" s="1"/>
  <c r="C236" i="1"/>
  <c r="C237" i="1" s="1"/>
  <c r="B17" i="1"/>
  <c r="E236" i="1"/>
  <c r="F17" i="1"/>
  <c r="F176" i="1" s="1"/>
  <c r="D236" i="1"/>
  <c r="D246" i="1" s="1"/>
  <c r="G236" i="1"/>
  <c r="C48" i="1"/>
  <c r="C233" i="1" s="1"/>
  <c r="C235" i="1" s="1"/>
  <c r="E48" i="1"/>
  <c r="E233" i="1" s="1"/>
  <c r="E235" i="1" s="1"/>
  <c r="J261" i="1"/>
  <c r="E196" i="1"/>
  <c r="H172" i="1"/>
  <c r="I172" i="1"/>
  <c r="H236" i="1"/>
  <c r="J236" i="1"/>
  <c r="B48" i="1"/>
  <c r="D48" i="1"/>
  <c r="D114" i="1" s="1"/>
  <c r="R5" i="2" s="1"/>
  <c r="F48" i="1"/>
  <c r="F51" i="1" s="1"/>
  <c r="F53" i="1" s="1"/>
  <c r="D132" i="1"/>
  <c r="E176" i="1"/>
  <c r="E152" i="1"/>
  <c r="E237" i="1"/>
  <c r="J152" i="1"/>
  <c r="C110" i="1"/>
  <c r="N4" i="2" s="1"/>
  <c r="E114" i="1"/>
  <c r="R6" i="2" s="1"/>
  <c r="G233" i="1"/>
  <c r="G235" i="1" s="1"/>
  <c r="G110" i="1"/>
  <c r="N8" i="2" s="1"/>
  <c r="G114" i="1"/>
  <c r="R8" i="2" s="1"/>
  <c r="G51" i="1"/>
  <c r="G53" i="1" s="1"/>
  <c r="I233" i="1"/>
  <c r="I235" i="1" s="1"/>
  <c r="I114" i="1"/>
  <c r="R10" i="2" s="1"/>
  <c r="I51" i="1"/>
  <c r="I53" i="1" s="1"/>
  <c r="I136" i="1" s="1"/>
  <c r="F237" i="1"/>
  <c r="F109" i="1"/>
  <c r="M7" i="2" s="1"/>
  <c r="C109" i="1"/>
  <c r="M4" i="2" s="1"/>
  <c r="B51" i="1"/>
  <c r="B53" i="1" s="1"/>
  <c r="H233" i="1"/>
  <c r="H235" i="1" s="1"/>
  <c r="H114" i="1"/>
  <c r="R9" i="2" s="1"/>
  <c r="H51" i="1"/>
  <c r="H53" i="1" s="1"/>
  <c r="J233" i="1"/>
  <c r="J235" i="1" s="1"/>
  <c r="J51" i="1"/>
  <c r="J53" i="1" s="1"/>
  <c r="J136" i="1" s="1"/>
  <c r="B177" i="1"/>
  <c r="B153" i="1"/>
  <c r="B188" i="1"/>
  <c r="B190" i="1" s="1"/>
  <c r="B199" i="1" s="1"/>
  <c r="D177" i="1"/>
  <c r="D153" i="1"/>
  <c r="D188" i="1"/>
  <c r="D190" i="1" s="1"/>
  <c r="D199" i="1" s="1"/>
  <c r="F177" i="1"/>
  <c r="F153" i="1"/>
  <c r="F188" i="1"/>
  <c r="H177" i="1"/>
  <c r="H153" i="1"/>
  <c r="H188" i="1"/>
  <c r="J177" i="1"/>
  <c r="J153" i="1"/>
  <c r="J188" i="1"/>
  <c r="G178" i="1"/>
  <c r="G154" i="1"/>
  <c r="G189" i="1"/>
  <c r="G194" i="1" s="1"/>
  <c r="I178" i="1"/>
  <c r="I154" i="1"/>
  <c r="I189" i="1"/>
  <c r="I194" i="1" s="1"/>
  <c r="B27" i="1"/>
  <c r="D27" i="1"/>
  <c r="D115" i="1" s="1"/>
  <c r="S5" i="2" s="1"/>
  <c r="H27" i="1"/>
  <c r="H115" i="1" s="1"/>
  <c r="S9" i="2" s="1"/>
  <c r="J27" i="1"/>
  <c r="D99" i="1"/>
  <c r="C5" i="2" s="1"/>
  <c r="F99" i="1"/>
  <c r="H99" i="1"/>
  <c r="J99" i="1"/>
  <c r="C100" i="1"/>
  <c r="D4" i="2" s="1"/>
  <c r="E100" i="1"/>
  <c r="D6" i="2" s="1"/>
  <c r="G100" i="1"/>
  <c r="D8" i="2" s="1"/>
  <c r="I100" i="1"/>
  <c r="D10" i="2" s="1"/>
  <c r="B115" i="1"/>
  <c r="S3" i="2" s="1"/>
  <c r="C131" i="1"/>
  <c r="E131" i="1"/>
  <c r="G131" i="1"/>
  <c r="I131" i="1"/>
  <c r="C133" i="1"/>
  <c r="E133" i="1"/>
  <c r="G133" i="1"/>
  <c r="I133" i="1"/>
  <c r="B134" i="1"/>
  <c r="D134" i="1"/>
  <c r="F134" i="1"/>
  <c r="H134" i="1"/>
  <c r="J134" i="1"/>
  <c r="C188" i="1"/>
  <c r="C190" i="1" s="1"/>
  <c r="C199" i="1" s="1"/>
  <c r="C177" i="1"/>
  <c r="C153" i="1"/>
  <c r="E188" i="1"/>
  <c r="E190" i="1" s="1"/>
  <c r="E199" i="1" s="1"/>
  <c r="E177" i="1"/>
  <c r="E153" i="1"/>
  <c r="G188" i="1"/>
  <c r="G177" i="1"/>
  <c r="G153" i="1"/>
  <c r="I188" i="1"/>
  <c r="I190" i="1" s="1"/>
  <c r="I199" i="1" s="1"/>
  <c r="I177" i="1"/>
  <c r="I153" i="1"/>
  <c r="H189" i="1"/>
  <c r="H194" i="1" s="1"/>
  <c r="H178" i="1"/>
  <c r="H154" i="1"/>
  <c r="J189" i="1"/>
  <c r="J194" i="1" s="1"/>
  <c r="J178" i="1"/>
  <c r="J154" i="1"/>
  <c r="C27" i="1"/>
  <c r="C115" i="1" s="1"/>
  <c r="S4" i="2" s="1"/>
  <c r="E27" i="1"/>
  <c r="E115" i="1" s="1"/>
  <c r="S6" i="2" s="1"/>
  <c r="G27" i="1"/>
  <c r="G115" i="1" s="1"/>
  <c r="S8" i="2" s="1"/>
  <c r="I27" i="1"/>
  <c r="I115" i="1" s="1"/>
  <c r="S10" i="2" s="1"/>
  <c r="C99" i="1"/>
  <c r="E99" i="1"/>
  <c r="G99" i="1"/>
  <c r="C8" i="2" s="1"/>
  <c r="I99" i="1"/>
  <c r="C10" i="2" s="1"/>
  <c r="B100" i="1"/>
  <c r="D3" i="2" s="1"/>
  <c r="D100" i="1"/>
  <c r="D5" i="2" s="1"/>
  <c r="F100" i="1"/>
  <c r="D7" i="2" s="1"/>
  <c r="H100" i="1"/>
  <c r="D9" i="2" s="1"/>
  <c r="J100" i="1"/>
  <c r="D11" i="2" s="1"/>
  <c r="B131" i="1"/>
  <c r="D131" i="1"/>
  <c r="F131" i="1"/>
  <c r="H131" i="1"/>
  <c r="J131" i="1"/>
  <c r="B133" i="1"/>
  <c r="D133" i="1"/>
  <c r="D141" i="1" s="1"/>
  <c r="F133" i="1"/>
  <c r="H133" i="1"/>
  <c r="J133" i="1"/>
  <c r="C134" i="1"/>
  <c r="E134" i="1"/>
  <c r="G134" i="1"/>
  <c r="I134" i="1"/>
  <c r="G138" i="1"/>
  <c r="D196" i="1"/>
  <c r="J172" i="1"/>
  <c r="G226" i="1"/>
  <c r="G227" i="1" s="1"/>
  <c r="I226" i="1"/>
  <c r="I227" i="1" s="1"/>
  <c r="C132" i="1" l="1"/>
  <c r="E51" i="1"/>
  <c r="E53" i="1" s="1"/>
  <c r="H132" i="1"/>
  <c r="D51" i="1"/>
  <c r="D53" i="1" s="1"/>
  <c r="D107" i="1" s="1"/>
  <c r="K5" i="2" s="1"/>
  <c r="F132" i="1"/>
  <c r="C114" i="1"/>
  <c r="R4" i="2" s="1"/>
  <c r="E109" i="1"/>
  <c r="M6" i="2" s="1"/>
  <c r="C103" i="1"/>
  <c r="G4" i="2" s="1"/>
  <c r="C4" i="2"/>
  <c r="F103" i="1"/>
  <c r="G7" i="2" s="1"/>
  <c r="C7" i="2"/>
  <c r="C246" i="1"/>
  <c r="J141" i="1"/>
  <c r="B141" i="1"/>
  <c r="J103" i="1"/>
  <c r="G11" i="2" s="1"/>
  <c r="C11" i="2"/>
  <c r="D233" i="1"/>
  <c r="D235" i="1" s="1"/>
  <c r="C152" i="1"/>
  <c r="C155" i="1" s="1"/>
  <c r="C228" i="1" s="1"/>
  <c r="C229" i="1" s="1"/>
  <c r="F152" i="1"/>
  <c r="E110" i="1"/>
  <c r="N6" i="2" s="1"/>
  <c r="J132" i="1"/>
  <c r="H109" i="1"/>
  <c r="M9" i="2" s="1"/>
  <c r="F108" i="1"/>
  <c r="L7" i="2" s="1"/>
  <c r="E103" i="1"/>
  <c r="G6" i="2" s="1"/>
  <c r="C6" i="2"/>
  <c r="H103" i="1"/>
  <c r="G9" i="2" s="1"/>
  <c r="C9" i="2"/>
  <c r="J110" i="1"/>
  <c r="N11" i="2" s="1"/>
  <c r="J109" i="1"/>
  <c r="M11" i="2" s="1"/>
  <c r="B237" i="1"/>
  <c r="G109" i="1"/>
  <c r="M8" i="2" s="1"/>
  <c r="H246" i="1"/>
  <c r="G103" i="1"/>
  <c r="G8" i="2" s="1"/>
  <c r="G152" i="1"/>
  <c r="G155" i="1" s="1"/>
  <c r="G228" i="1" s="1"/>
  <c r="G229" i="1" s="1"/>
  <c r="G176" i="1"/>
  <c r="G179" i="1" s="1"/>
  <c r="G237" i="1"/>
  <c r="F180" i="1"/>
  <c r="F114" i="1"/>
  <c r="R7" i="2" s="1"/>
  <c r="F130" i="1"/>
  <c r="F142" i="1" s="1"/>
  <c r="D109" i="1"/>
  <c r="M5" i="2" s="1"/>
  <c r="B103" i="1"/>
  <c r="G3" i="2" s="1"/>
  <c r="H141" i="1"/>
  <c r="J146" i="1"/>
  <c r="I196" i="1"/>
  <c r="D103" i="1"/>
  <c r="D110" i="1"/>
  <c r="N5" i="2" s="1"/>
  <c r="I132" i="1"/>
  <c r="I146" i="1" s="1"/>
  <c r="C51" i="1"/>
  <c r="C53" i="1" s="1"/>
  <c r="C108" i="1" s="1"/>
  <c r="L4" i="2" s="1"/>
  <c r="B152" i="1"/>
  <c r="D152" i="1"/>
  <c r="B233" i="1"/>
  <c r="B235" i="1" s="1"/>
  <c r="B244" i="1" s="1"/>
  <c r="B114" i="1"/>
  <c r="R3" i="2" s="1"/>
  <c r="B110" i="1"/>
  <c r="N3" i="2" s="1"/>
  <c r="F59" i="1"/>
  <c r="F64" i="1" s="1"/>
  <c r="F71" i="1" s="1"/>
  <c r="F86" i="1" s="1"/>
  <c r="F90" i="1" s="1"/>
  <c r="F92" i="1" s="1"/>
  <c r="F93" i="1" s="1"/>
  <c r="F105" i="1"/>
  <c r="F209" i="1" s="1"/>
  <c r="F141" i="1"/>
  <c r="J115" i="1"/>
  <c r="S11" i="2" s="1"/>
  <c r="J137" i="1"/>
  <c r="J113" i="1"/>
  <c r="Q11" i="2" s="1"/>
  <c r="F164" i="1"/>
  <c r="F165" i="1" s="1"/>
  <c r="I237" i="1"/>
  <c r="I110" i="1"/>
  <c r="N10" i="2" s="1"/>
  <c r="B176" i="1"/>
  <c r="B179" i="1" s="1"/>
  <c r="J246" i="1"/>
  <c r="F246" i="1"/>
  <c r="H136" i="1"/>
  <c r="H164" i="1"/>
  <c r="G190" i="1"/>
  <c r="G199" i="1" s="1"/>
  <c r="G201" i="1" s="1"/>
  <c r="G203" i="1" s="1"/>
  <c r="F136" i="1"/>
  <c r="H237" i="1"/>
  <c r="F107" i="1"/>
  <c r="K7" i="2" s="1"/>
  <c r="E246" i="1"/>
  <c r="H110" i="1"/>
  <c r="N9" i="2" s="1"/>
  <c r="F110" i="1"/>
  <c r="N7" i="2" s="1"/>
  <c r="I109" i="1"/>
  <c r="M10" i="2" s="1"/>
  <c r="I176" i="1"/>
  <c r="I179" i="1" s="1"/>
  <c r="J237" i="1"/>
  <c r="H176" i="1"/>
  <c r="H179" i="1" s="1"/>
  <c r="B109" i="1"/>
  <c r="M3" i="2" s="1"/>
  <c r="D237" i="1"/>
  <c r="I138" i="1"/>
  <c r="H146" i="1"/>
  <c r="I103" i="1"/>
  <c r="G246" i="1"/>
  <c r="G146" i="1"/>
  <c r="F106" i="1"/>
  <c r="F233" i="1"/>
  <c r="F235" i="1" s="1"/>
  <c r="F244" i="1" s="1"/>
  <c r="F248" i="1" s="1"/>
  <c r="B132" i="1"/>
  <c r="B146" i="1" s="1"/>
  <c r="I246" i="1"/>
  <c r="F146" i="1"/>
  <c r="B138" i="1"/>
  <c r="G147" i="1"/>
  <c r="G113" i="1"/>
  <c r="Q8" i="2" s="1"/>
  <c r="G36" i="1"/>
  <c r="G37" i="1" s="1"/>
  <c r="G137" i="1"/>
  <c r="G112" i="1"/>
  <c r="P8" i="2" s="1"/>
  <c r="C147" i="1"/>
  <c r="C258" i="1"/>
  <c r="C113" i="1"/>
  <c r="Q4" i="2" s="1"/>
  <c r="C36" i="1"/>
  <c r="C37" i="1" s="1"/>
  <c r="C137" i="1"/>
  <c r="C112" i="1"/>
  <c r="P4" i="2" s="1"/>
  <c r="I201" i="1"/>
  <c r="I203" i="1" s="1"/>
  <c r="E201" i="1"/>
  <c r="E203" i="1" s="1"/>
  <c r="E146" i="1"/>
  <c r="E138" i="1"/>
  <c r="J258" i="1"/>
  <c r="J147" i="1"/>
  <c r="J112" i="1"/>
  <c r="P11" i="2" s="1"/>
  <c r="J36" i="1"/>
  <c r="J37" i="1" s="1"/>
  <c r="B137" i="1"/>
  <c r="B112" i="1"/>
  <c r="P3" i="2" s="1"/>
  <c r="B113" i="1"/>
  <c r="Q3" i="2" s="1"/>
  <c r="B36" i="1"/>
  <c r="B37" i="1" s="1"/>
  <c r="D201" i="1"/>
  <c r="D203" i="1" s="1"/>
  <c r="J180" i="1"/>
  <c r="J164" i="1"/>
  <c r="J165" i="1" s="1"/>
  <c r="J107" i="1"/>
  <c r="K11" i="2" s="1"/>
  <c r="J105" i="1"/>
  <c r="I11" i="2" s="1"/>
  <c r="J130" i="1"/>
  <c r="J142" i="1" s="1"/>
  <c r="J108" i="1"/>
  <c r="L11" i="2" s="1"/>
  <c r="J106" i="1"/>
  <c r="J11" i="2" s="1"/>
  <c r="J59" i="1"/>
  <c r="J64" i="1" s="1"/>
  <c r="J71" i="1" s="1"/>
  <c r="J86" i="1" s="1"/>
  <c r="J90" i="1" s="1"/>
  <c r="J92" i="1" s="1"/>
  <c r="J93" i="1" s="1"/>
  <c r="J244" i="1"/>
  <c r="D164" i="1"/>
  <c r="D165" i="1" s="1"/>
  <c r="D130" i="1"/>
  <c r="D142" i="1" s="1"/>
  <c r="D244" i="1"/>
  <c r="D248" i="1" s="1"/>
  <c r="G180" i="1"/>
  <c r="G164" i="1"/>
  <c r="G165" i="1" s="1"/>
  <c r="G130" i="1"/>
  <c r="G142" i="1" s="1"/>
  <c r="G108" i="1"/>
  <c r="L8" i="2" s="1"/>
  <c r="G106" i="1"/>
  <c r="J8" i="2" s="1"/>
  <c r="G59" i="1"/>
  <c r="G64" i="1" s="1"/>
  <c r="G71" i="1" s="1"/>
  <c r="G86" i="1" s="1"/>
  <c r="G107" i="1"/>
  <c r="K8" i="2" s="1"/>
  <c r="G105" i="1"/>
  <c r="I8" i="2" s="1"/>
  <c r="G244" i="1"/>
  <c r="G248" i="1" s="1"/>
  <c r="E180" i="1"/>
  <c r="E164" i="1"/>
  <c r="E165" i="1" s="1"/>
  <c r="E130" i="1"/>
  <c r="E142" i="1" s="1"/>
  <c r="E108" i="1"/>
  <c r="L6" i="2" s="1"/>
  <c r="E106" i="1"/>
  <c r="J6" i="2" s="1"/>
  <c r="E107" i="1"/>
  <c r="K6" i="2" s="1"/>
  <c r="E105" i="1"/>
  <c r="I6" i="2" s="1"/>
  <c r="E59" i="1"/>
  <c r="E64" i="1" s="1"/>
  <c r="E71" i="1" s="1"/>
  <c r="E86" i="1" s="1"/>
  <c r="E90" i="1" s="1"/>
  <c r="E92" i="1" s="1"/>
  <c r="E93" i="1" s="1"/>
  <c r="C244" i="1"/>
  <c r="I141" i="1"/>
  <c r="E141" i="1"/>
  <c r="B118" i="1"/>
  <c r="H196" i="1"/>
  <c r="H190" i="1"/>
  <c r="H199" i="1" s="1"/>
  <c r="J138" i="1"/>
  <c r="I155" i="1"/>
  <c r="I228" i="1" s="1"/>
  <c r="I229" i="1" s="1"/>
  <c r="E136" i="1"/>
  <c r="J155" i="1"/>
  <c r="J228" i="1" s="1"/>
  <c r="J229" i="1" s="1"/>
  <c r="H155" i="1"/>
  <c r="H228" i="1" s="1"/>
  <c r="H229" i="1" s="1"/>
  <c r="E179" i="1"/>
  <c r="B155" i="1"/>
  <c r="B228" i="1" s="1"/>
  <c r="B229" i="1" s="1"/>
  <c r="D155" i="1"/>
  <c r="D228" i="1" s="1"/>
  <c r="D229" i="1" s="1"/>
  <c r="D146" i="1"/>
  <c r="D138" i="1"/>
  <c r="I258" i="1"/>
  <c r="I113" i="1"/>
  <c r="Q10" i="2" s="1"/>
  <c r="I36" i="1"/>
  <c r="I37" i="1" s="1"/>
  <c r="I137" i="1"/>
  <c r="I112" i="1"/>
  <c r="P10" i="2" s="1"/>
  <c r="E147" i="1"/>
  <c r="E258" i="1"/>
  <c r="E113" i="1"/>
  <c r="Q6" i="2" s="1"/>
  <c r="E36" i="1"/>
  <c r="E37" i="1" s="1"/>
  <c r="E137" i="1"/>
  <c r="E112" i="1"/>
  <c r="P6" i="2" s="1"/>
  <c r="C201" i="1"/>
  <c r="C203" i="1" s="1"/>
  <c r="C138" i="1"/>
  <c r="C146" i="1"/>
  <c r="H258" i="1"/>
  <c r="H147" i="1"/>
  <c r="H137" i="1"/>
  <c r="H112" i="1"/>
  <c r="P9" i="2" s="1"/>
  <c r="H113" i="1"/>
  <c r="Q9" i="2" s="1"/>
  <c r="H36" i="1"/>
  <c r="H37" i="1" s="1"/>
  <c r="D258" i="1"/>
  <c r="D147" i="1"/>
  <c r="D137" i="1"/>
  <c r="D112" i="1"/>
  <c r="P5" i="2" s="1"/>
  <c r="D113" i="1"/>
  <c r="Q5" i="2" s="1"/>
  <c r="D36" i="1"/>
  <c r="D37" i="1" s="1"/>
  <c r="B201" i="1"/>
  <c r="B203" i="1" s="1"/>
  <c r="H180" i="1"/>
  <c r="H165" i="1"/>
  <c r="H107" i="1"/>
  <c r="K9" i="2" s="1"/>
  <c r="H105" i="1"/>
  <c r="I9" i="2" s="1"/>
  <c r="H130" i="1"/>
  <c r="H142" i="1" s="1"/>
  <c r="H108" i="1"/>
  <c r="L9" i="2" s="1"/>
  <c r="H106" i="1"/>
  <c r="J9" i="2" s="1"/>
  <c r="H59" i="1"/>
  <c r="H64" i="1" s="1"/>
  <c r="H71" i="1" s="1"/>
  <c r="H86" i="1" s="1"/>
  <c r="H90" i="1" s="1"/>
  <c r="H92" i="1" s="1"/>
  <c r="H93" i="1" s="1"/>
  <c r="H244" i="1"/>
  <c r="B180" i="1"/>
  <c r="B164" i="1"/>
  <c r="B165" i="1" s="1"/>
  <c r="B107" i="1"/>
  <c r="K3" i="2" s="1"/>
  <c r="B105" i="1"/>
  <c r="I3" i="2" s="1"/>
  <c r="B59" i="1"/>
  <c r="B130" i="1"/>
  <c r="B142" i="1" s="1"/>
  <c r="B108" i="1"/>
  <c r="L3" i="2" s="1"/>
  <c r="B106" i="1"/>
  <c r="I180" i="1"/>
  <c r="I164" i="1"/>
  <c r="I165" i="1" s="1"/>
  <c r="I130" i="1"/>
  <c r="I142" i="1" s="1"/>
  <c r="I108" i="1"/>
  <c r="L10" i="2" s="1"/>
  <c r="I106" i="1"/>
  <c r="J10" i="2" s="1"/>
  <c r="I59" i="1"/>
  <c r="I64" i="1" s="1"/>
  <c r="I71" i="1" s="1"/>
  <c r="I86" i="1" s="1"/>
  <c r="I90" i="1" s="1"/>
  <c r="I92" i="1" s="1"/>
  <c r="I93" i="1" s="1"/>
  <c r="I107" i="1"/>
  <c r="K10" i="2" s="1"/>
  <c r="I105" i="1"/>
  <c r="I10" i="2" s="1"/>
  <c r="I244" i="1"/>
  <c r="E244" i="1"/>
  <c r="C130" i="1"/>
  <c r="C142" i="1" s="1"/>
  <c r="C105" i="1"/>
  <c r="I4" i="2" s="1"/>
  <c r="G141" i="1"/>
  <c r="C141" i="1"/>
  <c r="H118" i="1"/>
  <c r="J196" i="1"/>
  <c r="J190" i="1"/>
  <c r="J199" i="1" s="1"/>
  <c r="H138" i="1"/>
  <c r="B136" i="1"/>
  <c r="C179" i="1"/>
  <c r="G136" i="1"/>
  <c r="J179" i="1"/>
  <c r="E155" i="1"/>
  <c r="E228" i="1" s="1"/>
  <c r="E229" i="1" s="1"/>
  <c r="D179" i="1"/>
  <c r="B147" i="1" l="1"/>
  <c r="C107" i="1"/>
  <c r="K4" i="2" s="1"/>
  <c r="C164" i="1"/>
  <c r="C165" i="1" s="1"/>
  <c r="H248" i="1"/>
  <c r="H249" i="1" s="1"/>
  <c r="D59" i="1"/>
  <c r="D64" i="1" s="1"/>
  <c r="D71" i="1" s="1"/>
  <c r="D86" i="1" s="1"/>
  <c r="D90" i="1" s="1"/>
  <c r="D92" i="1" s="1"/>
  <c r="D93" i="1" s="1"/>
  <c r="D180" i="1"/>
  <c r="B181" i="1"/>
  <c r="J148" i="1"/>
  <c r="C118" i="1"/>
  <c r="C106" i="1"/>
  <c r="J4" i="2" s="1"/>
  <c r="C180" i="1"/>
  <c r="C181" i="1" s="1"/>
  <c r="E118" i="1"/>
  <c r="D106" i="1"/>
  <c r="J5" i="2" s="1"/>
  <c r="D105" i="1"/>
  <c r="I5" i="2" s="1"/>
  <c r="H181" i="1"/>
  <c r="C136" i="1"/>
  <c r="C59" i="1"/>
  <c r="C64" i="1" s="1"/>
  <c r="C71" i="1" s="1"/>
  <c r="C86" i="1" s="1"/>
  <c r="C90" i="1" s="1"/>
  <c r="C92" i="1" s="1"/>
  <c r="C93" i="1" s="1"/>
  <c r="E248" i="1"/>
  <c r="D136" i="1"/>
  <c r="C248" i="1"/>
  <c r="C254" i="1" s="1"/>
  <c r="C259" i="1" s="1"/>
  <c r="D108" i="1"/>
  <c r="L5" i="2" s="1"/>
  <c r="F135" i="1"/>
  <c r="J7" i="2"/>
  <c r="J118" i="1"/>
  <c r="J181" i="1"/>
  <c r="D118" i="1"/>
  <c r="G5" i="2"/>
  <c r="F139" i="1"/>
  <c r="I7" i="2"/>
  <c r="F218" i="1"/>
  <c r="F219" i="1" s="1"/>
  <c r="I147" i="1"/>
  <c r="I181" i="1"/>
  <c r="B218" i="1"/>
  <c r="J3" i="2"/>
  <c r="I118" i="1"/>
  <c r="G10" i="2"/>
  <c r="G118" i="1"/>
  <c r="B246" i="1"/>
  <c r="B248" i="1" s="1"/>
  <c r="G148" i="1"/>
  <c r="I248" i="1"/>
  <c r="I254" i="1" s="1"/>
  <c r="I259" i="1" s="1"/>
  <c r="G249" i="1"/>
  <c r="I148" i="1"/>
  <c r="D181" i="1"/>
  <c r="J248" i="1"/>
  <c r="J254" i="1" s="1"/>
  <c r="J259" i="1" s="1"/>
  <c r="H148" i="1"/>
  <c r="B139" i="1"/>
  <c r="B209" i="1"/>
  <c r="C139" i="1"/>
  <c r="C209" i="1"/>
  <c r="E139" i="1"/>
  <c r="E209" i="1"/>
  <c r="F140" i="1"/>
  <c r="G181" i="1"/>
  <c r="C148" i="1"/>
  <c r="E181" i="1"/>
  <c r="G90" i="1"/>
  <c r="G92" i="1" s="1"/>
  <c r="G93" i="1" s="1"/>
  <c r="D139" i="1"/>
  <c r="D209" i="1"/>
  <c r="B64" i="1"/>
  <c r="B71" i="1" s="1"/>
  <c r="B86" i="1" s="1"/>
  <c r="B90" i="1" s="1"/>
  <c r="B92" i="1" s="1"/>
  <c r="B93" i="1" s="1"/>
  <c r="B202" i="1"/>
  <c r="D202" i="1"/>
  <c r="D205" i="1" s="1"/>
  <c r="E202" i="1"/>
  <c r="E205" i="1" s="1"/>
  <c r="I202" i="1"/>
  <c r="I205" i="1" s="1"/>
  <c r="I210" i="1" s="1"/>
  <c r="J201" i="1"/>
  <c r="J203" i="1" s="1"/>
  <c r="C218" i="1"/>
  <c r="C219" i="1" s="1"/>
  <c r="C140" i="1"/>
  <c r="C135" i="1"/>
  <c r="I218" i="1"/>
  <c r="I219" i="1" s="1"/>
  <c r="I140" i="1"/>
  <c r="I135" i="1"/>
  <c r="F254" i="1"/>
  <c r="F249" i="1"/>
  <c r="H218" i="1"/>
  <c r="H219" i="1" s="1"/>
  <c r="H135" i="1"/>
  <c r="H140" i="1"/>
  <c r="G254" i="1"/>
  <c r="G209" i="1"/>
  <c r="G139" i="1"/>
  <c r="D218" i="1"/>
  <c r="D219" i="1" s="1"/>
  <c r="D135" i="1"/>
  <c r="D140" i="1"/>
  <c r="J209" i="1"/>
  <c r="J139" i="1"/>
  <c r="E254" i="1"/>
  <c r="E259" i="1" s="1"/>
  <c r="E249" i="1"/>
  <c r="I209" i="1"/>
  <c r="I139" i="1"/>
  <c r="B219" i="1"/>
  <c r="B135" i="1"/>
  <c r="B140" i="1"/>
  <c r="H209" i="1"/>
  <c r="H139" i="1"/>
  <c r="H201" i="1"/>
  <c r="H203" i="1" s="1"/>
  <c r="E218" i="1"/>
  <c r="E219" i="1" s="1"/>
  <c r="E140" i="1"/>
  <c r="E135" i="1"/>
  <c r="G218" i="1"/>
  <c r="G219" i="1" s="1"/>
  <c r="G140" i="1"/>
  <c r="G135" i="1"/>
  <c r="D254" i="1"/>
  <c r="D259" i="1" s="1"/>
  <c r="J218" i="1"/>
  <c r="J219" i="1" s="1"/>
  <c r="J135" i="1"/>
  <c r="J140" i="1"/>
  <c r="C202" i="1"/>
  <c r="C205" i="1" s="1"/>
  <c r="G202" i="1"/>
  <c r="D148" i="1"/>
  <c r="E148" i="1"/>
  <c r="B148" i="1"/>
  <c r="D249" i="1" l="1"/>
  <c r="H254" i="1"/>
  <c r="H259" i="1" s="1"/>
  <c r="I249" i="1"/>
  <c r="C249" i="1"/>
  <c r="B254" i="1"/>
  <c r="I238" i="1"/>
  <c r="I239" i="1" s="1"/>
  <c r="I240" i="1" s="1"/>
  <c r="J202" i="1"/>
  <c r="J205" i="1" s="1"/>
  <c r="J249" i="1"/>
  <c r="D260" i="1"/>
  <c r="C238" i="1"/>
  <c r="C250" i="1" s="1"/>
  <c r="C210" i="1"/>
  <c r="D238" i="1"/>
  <c r="D210" i="1"/>
  <c r="E238" i="1"/>
  <c r="E239" i="1" s="1"/>
  <c r="E240" i="1" s="1"/>
  <c r="E210" i="1"/>
  <c r="I260" i="1"/>
  <c r="K219" i="1"/>
  <c r="K216" i="1" s="1"/>
  <c r="B220" i="1" s="1"/>
  <c r="E260" i="1"/>
  <c r="J260" i="1"/>
  <c r="H202" i="1"/>
  <c r="H205" i="1" s="1"/>
  <c r="B249" i="1" l="1"/>
  <c r="K249" i="1" s="1"/>
  <c r="K248" i="1" s="1"/>
  <c r="E250" i="1"/>
  <c r="I250" i="1"/>
  <c r="C239" i="1"/>
  <c r="C240" i="1" s="1"/>
  <c r="D250" i="1"/>
  <c r="D239" i="1"/>
  <c r="D240" i="1" s="1"/>
  <c r="J210" i="1"/>
  <c r="J238" i="1"/>
  <c r="H210" i="1"/>
  <c r="H238" i="1"/>
  <c r="H250" i="1" l="1"/>
  <c r="H239" i="1"/>
  <c r="H240" i="1" s="1"/>
  <c r="J250" i="1"/>
  <c r="K251" i="1" s="1"/>
  <c r="J239" i="1"/>
  <c r="J240" i="1" s="1"/>
  <c r="F138" i="1"/>
  <c r="F178" i="1"/>
  <c r="F179" i="1" s="1"/>
  <c r="F181" i="1" s="1"/>
  <c r="F154" i="1"/>
  <c r="F155" i="1" s="1"/>
  <c r="F228" i="1" s="1"/>
  <c r="F229" i="1" s="1"/>
  <c r="F137" i="1"/>
  <c r="G258" i="1"/>
  <c r="G259" i="1" s="1"/>
  <c r="H260" i="1" s="1"/>
  <c r="F189" i="1"/>
  <c r="F194" i="1" s="1"/>
  <c r="G196" i="1" l="1"/>
  <c r="F196" i="1"/>
  <c r="B205" i="1" s="1"/>
  <c r="F190" i="1"/>
  <c r="F199" i="1" s="1"/>
  <c r="F36" i="1"/>
  <c r="F37" i="1" s="1"/>
  <c r="F113" i="1"/>
  <c r="Q7" i="2" s="1"/>
  <c r="F258" i="1"/>
  <c r="F115" i="1"/>
  <c r="F147" i="1"/>
  <c r="F148" i="1" s="1"/>
  <c r="F112" i="1"/>
  <c r="P7" i="2" s="1"/>
  <c r="F118" i="1" l="1"/>
  <c r="S7" i="2"/>
  <c r="F259" i="1"/>
  <c r="F260" i="1" s="1"/>
  <c r="B259" i="1"/>
  <c r="C260" i="1" s="1"/>
  <c r="B210" i="1"/>
  <c r="B238" i="1"/>
  <c r="G205" i="1"/>
  <c r="F201" i="1"/>
  <c r="F203" i="1" s="1"/>
  <c r="G238" i="1" l="1"/>
  <c r="G239" i="1" s="1"/>
  <c r="G240" i="1" s="1"/>
  <c r="G210" i="1"/>
  <c r="G260" i="1"/>
  <c r="B260" i="1" s="1"/>
  <c r="K260" i="1" s="1"/>
  <c r="K259" i="1" s="1"/>
  <c r="K262" i="1" s="1"/>
  <c r="B250" i="1"/>
  <c r="B239" i="1"/>
  <c r="B240" i="1" s="1"/>
  <c r="F202" i="1"/>
  <c r="F205" i="1" s="1"/>
  <c r="G250" i="1" l="1"/>
  <c r="F238" i="1"/>
  <c r="F239" i="1" s="1"/>
  <c r="F240" i="1" s="1"/>
  <c r="F210" i="1"/>
  <c r="F2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Giannissaki Chryssi</author>
    <author>Γιάννης</author>
  </authors>
  <commentList>
    <comment ref="A37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161"/>
          </rPr>
          <t>ΠΑΝΑΓΙΩΤΗΣ ΣΠΑΝΟΣ:</t>
        </r>
        <r>
          <rPr>
            <sz val="9"/>
            <color rgb="FF000000"/>
            <rFont val="Tahoma"/>
            <family val="2"/>
            <charset val="161"/>
          </rPr>
          <t>Θα πρέπει να είναι 0 για να θεωρείται ορθή η καταχώρηση</t>
        </r>
      </text>
    </comment>
    <comment ref="B64" authorId="1" shapeId="0" xr:uid="{00000000-0006-0000-0000-000002000000}">
      <text>
        <r>
          <rPr>
            <b/>
            <sz val="8"/>
            <color indexed="81"/>
            <rFont val="Tahoma"/>
            <family val="2"/>
            <charset val="161"/>
          </rPr>
          <t>Προσθέτουμε τα μη ταμιακά λειτουργικά έξοδα και αφαιρούμε τα μη ταμιακά λειτουργικά έσοδα</t>
        </r>
      </text>
    </comment>
    <comment ref="A68" authorId="0" shapeId="0" xr:uid="{00000000-0006-0000-0000-000003000000}">
      <text>
        <r>
          <rPr>
            <sz val="9"/>
            <color rgb="FF000000"/>
            <rFont val="Tahoma"/>
            <family val="2"/>
            <charset val="161"/>
          </rPr>
          <t>Σε περίπτωση αύξησης αφαιρούμε</t>
        </r>
      </text>
    </comment>
    <comment ref="A69" authorId="0" shapeId="0" xr:uid="{00000000-0006-0000-0000-000004000000}">
      <text>
        <r>
          <rPr>
            <sz val="9"/>
            <color rgb="FF000000"/>
            <rFont val="Tahoma"/>
            <family val="2"/>
            <charset val="161"/>
          </rPr>
          <t>Σε περίπτωση αύξησης προσθέτουμε</t>
        </r>
      </text>
    </comment>
    <comment ref="C89" authorId="1" shapeId="0" xr:uid="{00000000-0006-0000-0000-000005000000}">
      <text>
        <r>
          <rPr>
            <b/>
            <sz val="8"/>
            <color indexed="81"/>
            <rFont val="Tahoma"/>
            <family val="2"/>
            <charset val="161"/>
          </rPr>
          <t>Αποτελούν τα ταμειακά διαθέσιμα του τέλους της προηγούμενης χρήσης</t>
        </r>
      </text>
    </comment>
    <comment ref="A93" authorId="0" shapeId="0" xr:uid="{00000000-0006-0000-0000-000006000000}">
      <text>
        <r>
          <rPr>
            <sz val="9"/>
            <color rgb="FF000000"/>
            <rFont val="Tahoma"/>
            <family val="2"/>
            <charset val="161"/>
          </rPr>
          <t>Θα πρέπει να είναι 0 για να θεωρείται ορθή η καταχώρηση</t>
        </r>
      </text>
    </comment>
    <comment ref="A105" authorId="0" shapeId="0" xr:uid="{00000000-0006-0000-0000-000007000000}">
      <text>
        <r>
          <rPr>
            <sz val="9"/>
            <color rgb="FF000000"/>
            <rFont val="Tahoma"/>
            <family val="2"/>
            <charset val="161"/>
          </rPr>
          <t>Return on total assets</t>
        </r>
      </text>
    </comment>
    <comment ref="A106" authorId="0" shapeId="0" xr:uid="{00000000-0006-0000-0000-000008000000}">
      <text>
        <r>
          <rPr>
            <sz val="9"/>
            <color rgb="FF000000"/>
            <rFont val="Tahoma"/>
            <family val="2"/>
            <charset val="161"/>
          </rPr>
          <t>Return on Equity</t>
        </r>
      </text>
    </comment>
    <comment ref="A107" authorId="0" shapeId="0" xr:uid="{00000000-0006-0000-0000-000009000000}">
      <text>
        <r>
          <rPr>
            <sz val="9"/>
            <color rgb="FF000000"/>
            <rFont val="Tahoma"/>
            <family val="2"/>
            <charset val="161"/>
          </rPr>
          <t>Return on sales</t>
        </r>
      </text>
    </comment>
    <comment ref="A108" authorId="0" shapeId="0" xr:uid="{00000000-0006-0000-0000-00000A000000}">
      <text>
        <r>
          <rPr>
            <sz val="9"/>
            <color rgb="FF000000"/>
            <rFont val="Tahoma"/>
            <family val="2"/>
            <charset val="161"/>
          </rPr>
          <t>Return on Working Capital</t>
        </r>
      </text>
    </comment>
    <comment ref="A112" authorId="0" shapeId="0" xr:uid="{00000000-0006-0000-0000-00000B000000}">
      <text>
        <r>
          <rPr>
            <sz val="9"/>
            <color rgb="FF000000"/>
            <rFont val="Tahoma"/>
            <family val="2"/>
            <charset val="161"/>
          </rPr>
          <t>Debt to Equity</t>
        </r>
      </text>
    </comment>
    <comment ref="A113" authorId="0" shapeId="0" xr:uid="{00000000-0006-0000-0000-00000C000000}">
      <text>
        <r>
          <rPr>
            <sz val="9"/>
            <color rgb="FF000000"/>
            <rFont val="Tahoma"/>
            <family val="2"/>
            <charset val="161"/>
          </rPr>
          <t>Debt Ratio</t>
        </r>
      </text>
    </comment>
    <comment ref="A114" authorId="0" shapeId="0" xr:uid="{00000000-0006-0000-0000-00000D000000}">
      <text>
        <r>
          <rPr>
            <sz val="9"/>
            <color rgb="FF000000"/>
            <rFont val="Tahoma"/>
            <family val="2"/>
            <charset val="161"/>
          </rPr>
          <t>Times Interest Earned</t>
        </r>
      </text>
    </comment>
    <comment ref="A125" authorId="0" shapeId="0" xr:uid="{00000000-0006-0000-0000-00000E000000}">
      <text>
        <r>
          <rPr>
            <sz val="9"/>
            <color rgb="FF000000"/>
            <rFont val="Tahoma"/>
            <family val="2"/>
            <charset val="161"/>
          </rPr>
          <t>Price to earnings ratio</t>
        </r>
      </text>
    </comment>
    <comment ref="A126" authorId="0" shapeId="0" xr:uid="{00000000-0006-0000-0000-00000F000000}">
      <text>
        <r>
          <rPr>
            <sz val="9"/>
            <color rgb="FF000000"/>
            <rFont val="Tahoma"/>
            <family val="2"/>
            <charset val="161"/>
          </rPr>
          <t>Market to book ratio</t>
        </r>
      </text>
    </comment>
    <comment ref="A148" authorId="0" shapeId="0" xr:uid="{00000000-0006-0000-0000-000010000000}">
      <text>
        <r>
          <rPr>
            <sz val="9"/>
            <color rgb="FF000000"/>
            <rFont val="Tahoma"/>
            <family val="2"/>
            <charset val="161"/>
          </rPr>
          <t>Θα πρέπει να είναι 100%</t>
        </r>
      </text>
    </comment>
    <comment ref="B196" authorId="2" shapeId="0" xr:uid="{00000000-0006-0000-0000-000011000000}">
      <text>
        <r>
          <rPr>
            <b/>
            <sz val="9"/>
            <color indexed="81"/>
            <rFont val="Tahoma"/>
            <family val="2"/>
            <charset val="161"/>
          </rPr>
          <t>ΤΥΧΑΙΟ</t>
        </r>
      </text>
    </comment>
    <comment ref="A198" authorId="0" shapeId="0" xr:uid="{00000000-0006-0000-0000-000012000000}">
      <text>
        <r>
          <rPr>
            <sz val="9"/>
            <color rgb="FF000000"/>
            <rFont val="Tahoma"/>
            <family val="2"/>
            <charset val="161"/>
          </rPr>
          <t>Θα υπολογιστεί με τη μέθοδο CAPM</t>
        </r>
      </text>
    </comment>
    <comment ref="A204" authorId="0" shapeId="0" xr:uid="{00000000-0006-0000-0000-000013000000}">
      <text>
        <r>
          <rPr>
            <sz val="9"/>
            <color rgb="FF000000"/>
            <rFont val="Tahoma"/>
            <family val="2"/>
            <charset val="161"/>
          </rPr>
          <t>Υποθέτουμε φόρο επί των κερδών το 2004 35%</t>
        </r>
      </text>
    </comment>
    <comment ref="A209" authorId="0" shapeId="0" xr:uid="{00000000-0006-0000-0000-000014000000}">
      <text>
        <r>
          <rPr>
            <sz val="9"/>
            <color rgb="FF000000"/>
            <rFont val="Tahoma"/>
            <family val="2"/>
            <charset val="161"/>
          </rPr>
          <t>Net Operating Profits After Taxes</t>
        </r>
      </text>
    </comment>
    <comment ref="A225" authorId="0" shapeId="0" xr:uid="{00000000-0006-0000-0000-000015000000}">
      <text>
        <r>
          <rPr>
            <sz val="9"/>
            <color rgb="FF000000"/>
            <rFont val="Tahoma"/>
            <family val="2"/>
            <charset val="161"/>
          </rPr>
          <t>Τιμή μετοχής κλεισίματος στο χρηματιστήριο την τελευταία εργλασιμη του έτους</t>
        </r>
      </text>
    </comment>
    <comment ref="B246" authorId="2" shapeId="0" xr:uid="{00000000-0006-0000-0000-000016000000}">
      <text>
        <r>
          <rPr>
            <b/>
            <sz val="9"/>
            <color indexed="81"/>
            <rFont val="Tahoma"/>
            <family val="2"/>
            <charset val="161"/>
          </rPr>
          <t>τυχαιο</t>
        </r>
      </text>
    </comment>
    <comment ref="B247" authorId="2" shapeId="0" xr:uid="{00000000-0006-0000-0000-000017000000}">
      <text>
        <r>
          <rPr>
            <b/>
            <sz val="9"/>
            <color indexed="81"/>
            <rFont val="Tahoma"/>
            <family val="2"/>
            <charset val="161"/>
          </rPr>
          <t>τυχαιο</t>
        </r>
      </text>
    </comment>
    <comment ref="B249" authorId="2" shapeId="0" xr:uid="{00000000-0006-0000-0000-000018000000}">
      <text>
        <r>
          <rPr>
            <b/>
            <sz val="9"/>
            <color indexed="81"/>
            <rFont val="Tahoma"/>
            <family val="2"/>
            <charset val="161"/>
          </rPr>
          <t>τυχαιο</t>
        </r>
      </text>
    </comment>
    <comment ref="B258" authorId="2" shapeId="0" xr:uid="{00000000-0006-0000-0000-000019000000}">
      <text>
        <r>
          <rPr>
            <b/>
            <sz val="9"/>
            <color indexed="81"/>
            <rFont val="Tahoma"/>
            <family val="2"/>
            <charset val="161"/>
          </rPr>
          <t>τυχαιο</t>
        </r>
      </text>
    </comment>
    <comment ref="B260" authorId="2" shapeId="0" xr:uid="{00000000-0006-0000-0000-00001A000000}">
      <text>
        <r>
          <rPr>
            <b/>
            <sz val="9"/>
            <color indexed="81"/>
            <rFont val="Tahoma"/>
            <family val="2"/>
            <charset val="161"/>
          </rPr>
          <t>τυχαιο</t>
        </r>
      </text>
    </comment>
  </commentList>
</comments>
</file>

<file path=xl/sharedStrings.xml><?xml version="1.0" encoding="utf-8"?>
<sst xmlns="http://schemas.openxmlformats.org/spreadsheetml/2006/main" count="225" uniqueCount="193">
  <si>
    <t>ΙΣΟΛΟΓΙΣΜΟΣ</t>
  </si>
  <si>
    <t>Ενεργητικό</t>
  </si>
  <si>
    <t>Ασώματα πάγια στοιχεία</t>
  </si>
  <si>
    <t>Ενσώματα πάγια στοιχεία</t>
  </si>
  <si>
    <t>Διαθέσιμα προς πώληση χρηματοοικονομικά στοιχεία</t>
  </si>
  <si>
    <t>Αναβαλλόμενες φορολογικές απαιτήσεις</t>
  </si>
  <si>
    <t>Λοιπά μη κυκλοφορούντα περιουσιακά στοιχεία</t>
  </si>
  <si>
    <t>Σύνολο μη κυκλοφορούντων περιουσιακών στοιχείων</t>
  </si>
  <si>
    <t>Αποθέματα</t>
  </si>
  <si>
    <t>Εμπορικές απαιτήσεις</t>
  </si>
  <si>
    <t>Λοιπές απαιτήσεις</t>
  </si>
  <si>
    <t>Χρηματικά διαθέσιμα</t>
  </si>
  <si>
    <t>Σύνολο κυκλοφορούντων περιουσιακών στοιχείων</t>
  </si>
  <si>
    <t>Σύνολο Ενεργητικού</t>
  </si>
  <si>
    <t>Υποχρεώσεις</t>
  </si>
  <si>
    <t>Εμπορικές και λοιπές υποχρεώσεις</t>
  </si>
  <si>
    <t>Σύνολο βραχυπρόθεσμων υποχρεώσεων</t>
  </si>
  <si>
    <t>Λοιπές μακροπρόθεσμες υποχρεώσεις</t>
  </si>
  <si>
    <t>Σύνολο μακροπρόθεσμων υποχρεώσεων</t>
  </si>
  <si>
    <t>Σύνολο Υποχρεώσεων</t>
  </si>
  <si>
    <t>Ίδια Κεφάλαια</t>
  </si>
  <si>
    <t>Μετοχικό κεφάλαιο</t>
  </si>
  <si>
    <t>Λοιπά αποθεματικά</t>
  </si>
  <si>
    <t>Αποτελέσματα εις νέον</t>
  </si>
  <si>
    <t>Σύνολο Ιδίων Κεφαλαίων</t>
  </si>
  <si>
    <t>Σύνολο Ιδίων Κεφαλάιων και Υποχρεώσεων</t>
  </si>
  <si>
    <t>Control συμφωνίας</t>
  </si>
  <si>
    <t>ΚΑΤΑΣΤΑΣΗ ΑΠΟΤΕΛΕΣΜΑΤΩΝ ΧΡΗΣΗΣ</t>
  </si>
  <si>
    <t>Καθαρές πωλήσεις</t>
  </si>
  <si>
    <t>Κόστος πωληθέντων</t>
  </si>
  <si>
    <t>Μεικτά κέρδη</t>
  </si>
  <si>
    <t>Λειτουργικά έξοδα</t>
  </si>
  <si>
    <t>Έξοδα αναδιάρθρωσης</t>
  </si>
  <si>
    <t>Λειτουργικά αποτελέσματα (EBIT)</t>
  </si>
  <si>
    <t>Καθαρά χρηματοοικονομικά αποτελέσματα</t>
  </si>
  <si>
    <t>Αποτελέσματα προ φόρων</t>
  </si>
  <si>
    <t>Φόροι</t>
  </si>
  <si>
    <t>Αποτελέσματα μετά φόρων</t>
  </si>
  <si>
    <t>ΚΑΤΑΣΤΑΣΗ ΤΑΜΕΙΑΚΩΝ ΡΟΩΝ</t>
  </si>
  <si>
    <t>Λειτουργικές Δραστηριότητες</t>
  </si>
  <si>
    <t>Καθαρά Χρηματοοικονομικά έξοδα</t>
  </si>
  <si>
    <t>Φόροι που πιστώθηκαν στα αποτελέσματα</t>
  </si>
  <si>
    <t>Αποσβέσεις ενσώματων παγίων στοιχείων</t>
  </si>
  <si>
    <t>Αποσβέσεις ασώματων παγίων στοιχείων</t>
  </si>
  <si>
    <t>(Κέρδη)/Ζημίες από πώληση μη κυκλοφορούντων στοιχείων/ λοιπες εισριες εκροες
από λειτουργικές δραστηριότητες</t>
  </si>
  <si>
    <t>(Άυξηση)/μείωση αποθεμάτων</t>
  </si>
  <si>
    <t>Μείωση εμπορικών και λοιπών απαιτήσεων</t>
  </si>
  <si>
    <t>Μείωση εμπορικών και λοιπών υποχρεώσεων</t>
  </si>
  <si>
    <t>Καθαρές ταμειακές εισροές από λειτουργικές δραστηριότητες</t>
  </si>
  <si>
    <t>Επενδυτικές δραστηριότητες</t>
  </si>
  <si>
    <t>Πληρωμές για αγορές ενσώματων παγίων στοιχείων/ λοιπες επενδ. Δραστηριοτηρες</t>
  </si>
  <si>
    <t>Καθαρές ταμιακές εκροές από επενδυτικές δραστηριότητες</t>
  </si>
  <si>
    <t>Χρηματοδοτικές δραστηριότητες</t>
  </si>
  <si>
    <t>Έξοδα που σχετίζονται με την αύξηση μετοχικού κεφαλαίου/ πληρωμές για μειωση 
μετοχικου κεφαλαίου</t>
  </si>
  <si>
    <t>Εισπράξεις από δάνεια</t>
  </si>
  <si>
    <t>Εξοφλήσεις δανείων</t>
  </si>
  <si>
    <t>Τόκοι καταβληθέντες/μερισματα πληρωθεντα
/ εξοφλησεις υποχρεωσεων από χρηματοδοτικες μισθωσεις</t>
  </si>
  <si>
    <t>Καθαρές ταμειακές (εκροές)/εισροές από χρηματοδοτικές δραστηριότητες</t>
  </si>
  <si>
    <t>Καθαρή μεταβολή  χρηματικών διαθεσίμων</t>
  </si>
  <si>
    <t>Μεταβολή Χρηματικών Διαθεσίμων</t>
  </si>
  <si>
    <t>Χρηματικά διαθέσιμα 1η Ιανουαρίου</t>
  </si>
  <si>
    <t>Καθαρή αύξηση χρηματικών διαθεσίμων</t>
  </si>
  <si>
    <t>Εισφορά παραγωγικού κλάδου</t>
  </si>
  <si>
    <t>Χρηματικά διαθέσιμα 31η Δεκεμβρίου</t>
  </si>
  <si>
    <t>ΑΡΙΘΜΟΔΕΙΚΤΕΣ</t>
  </si>
  <si>
    <t>1. Ρευστότητας</t>
  </si>
  <si>
    <t>Κεφάλαιο Κίνησης/Κυκλ. Ενεργεργητικο Μειον τρεχουσες υποχρεωσεις</t>
  </si>
  <si>
    <t>Κυκλοφοριακή ταχύτητα αποθεμάτων</t>
  </si>
  <si>
    <t>Κεφάλαιο Κίνησης προς σύνολο Ενεργητικού</t>
  </si>
  <si>
    <t>2. Κερδοφορίας</t>
  </si>
  <si>
    <t>ROE</t>
  </si>
  <si>
    <t>ROWC</t>
  </si>
  <si>
    <t>Κέρδη εις νέο προς σύνολο Ενεργητικού</t>
  </si>
  <si>
    <t>EBIT προς σύνολο Ενεργητικού</t>
  </si>
  <si>
    <t>3. Φερεγγυότητας</t>
  </si>
  <si>
    <t>DTE</t>
  </si>
  <si>
    <t>DR</t>
  </si>
  <si>
    <t>TIE</t>
  </si>
  <si>
    <t>Κεφάλαια (equity) προς σύνολο υποχρεώσεων</t>
  </si>
  <si>
    <t>Υπολογισμός τιμής Z-Score για εφαρμογή γενικευμένου Altman's Z-score</t>
  </si>
  <si>
    <t>ΣΤΟΙΧΕΙΑ ΚΑΙ ΑΡΙΘΜΟΔΕΙΚΤΕΣ ΑΓΟΡΑΙΑΣ ΑΞΙΑΣ ΣΤΟ ΤΕΛΟΣ ΧΡΗΣΗΣ</t>
  </si>
  <si>
    <t>Αριθμός μετοχών</t>
  </si>
  <si>
    <t>Ονομαστική τιμή μετοχής στο τέλος της χρήσης</t>
  </si>
  <si>
    <t>Αγοραία τιμή μετοχής στο τέλος της χρήσης</t>
  </si>
  <si>
    <t>PER</t>
  </si>
  <si>
    <t>MBR</t>
  </si>
  <si>
    <t>SPACE MATRIX</t>
  </si>
  <si>
    <t>ΚΑΘΑΡΑ ΚΕΡΔΗ- NET INCOME</t>
  </si>
  <si>
    <t>ΣΥΝΟΛΟ ΙΔΙΩΝ ΚΕΦΑΛΑΙΩΝ- SHAREHOLDERS' EQUITY</t>
  </si>
  <si>
    <t>ΣΥΝΟΛΟ ΕΝΕΡΓΗΤΙΚΟΥ- TOTAL ASSETS</t>
  </si>
  <si>
    <t>ΣΥΝΟΛΟ ΚΥΚΛΟΦΟΡΟΥΝΤΟΣ ΕΝΕΡΓΗΤΙΚΟΥ - TOTAL CURRENT ASSETS</t>
  </si>
  <si>
    <t>ΣΥΝΟΛΟ ΒΡΑΧ. ΥΠΟΧΡΕΩΣΕΩΝ –ΤΟΤΑL CURRENT LIABILITIES</t>
  </si>
  <si>
    <t>ΑΠΟΔΟΣΗ ΙΔΙΩΝ ΚΕΦΑΛΑΙΩΝ (ROE)= NET INCOME/EQUITY</t>
  </si>
  <si>
    <t>ΟΙΚΟΝΟΜΙΚΗ ΜΟΧΛΕΥΣΗ- LEVERAGE (OPERATING INCOME/NET INCOME)</t>
  </si>
  <si>
    <t>DEBT RATIO (TOTAL LIABILITIES/TOTAL ASSETS)</t>
  </si>
  <si>
    <t>ΞΕΝΑ/ΙΔΙΑ ΚΕΦΑΛΑΙΑ</t>
  </si>
  <si>
    <t>ΑΠΟΔΟΤΙΚΟΤΗΤΑ ΕΝΕΡΓΗΤΙΚΟΥ (ROA)</t>
  </si>
  <si>
    <t>ΑΠΟΔΟΤΙΚΟΤΗΤΑ ΙΔΙΩΝ ΚΕΦΑΛΑΙΩΝ (ROΕ)</t>
  </si>
  <si>
    <t>PROFIT MARGIN ON SALES</t>
  </si>
  <si>
    <t>ΔΙΑΡΘΡΩΣΗ ΧΡΗΜΑΤΟΔΟΤΗΣΗΣ</t>
  </si>
  <si>
    <t>EQUITY TO ASSETS</t>
  </si>
  <si>
    <t>LIABILITIES TO ASSETS</t>
  </si>
  <si>
    <t>Σύνολο</t>
  </si>
  <si>
    <t>ΑΠΟΤΙΜΗΣΗ ΜΕΘΟΔΟΣ BOOK VALUE</t>
  </si>
  <si>
    <t>Σύνολο Βραχυπρόθεσμων Υποχρεώσεων</t>
  </si>
  <si>
    <t>Σύνολο Μακροπρόθεσμων Υποχρεώσεων</t>
  </si>
  <si>
    <t>Αξία Ιδίων Κεφαλαίων</t>
  </si>
  <si>
    <t>ΑΠΟΤΙΜΗΣΗ ΑΠΟΤΕΛΕΣΜΑΤΑ ΧΡΗΣΗΣ</t>
  </si>
  <si>
    <t>1. ΑΠΟΤΙΜΗΣΗ ΚΕΡΔΩΝ PER</t>
  </si>
  <si>
    <t>Τιμή Μετοχής</t>
  </si>
  <si>
    <t>Κέρδη ανά  μετοχή</t>
  </si>
  <si>
    <t>PER (Price Earnings ratio)</t>
  </si>
  <si>
    <t>Καθαρά Έσοδα (NET INCOME)</t>
  </si>
  <si>
    <t>Αξία Επιχείρισης (Enterprise value)</t>
  </si>
  <si>
    <t>2. ΑΠΟΤΙΜΗΣΗ ΜΕΡΙΣΜΑΤΩΝ</t>
  </si>
  <si>
    <t>Μέρισμα ανά μετοχή</t>
  </si>
  <si>
    <t>Κόστος ιδίων κεφαλαίων</t>
  </si>
  <si>
    <t>Αριθμός Μετοχών</t>
  </si>
  <si>
    <t>Equity Value</t>
  </si>
  <si>
    <t>ΚΛΑΣΣΙΚΗ ΜΕΘΟΔΟΣ ΥΠΕΡΑΞΙΑΣ</t>
  </si>
  <si>
    <t>Σύνολο βραχυπρόθεσμων Υποχρεώσεων</t>
  </si>
  <si>
    <t>Καθαρό Ενεργητικό (NET ASSET)</t>
  </si>
  <si>
    <t>Καθαρά Έσοδα</t>
  </si>
  <si>
    <t>ΥΠΟΛΟΓΙΣΜΟΣ ΣΤΑΘΜΙΣΜΕΝΟΥ ΚΟΣΤΟΥΣ ΚΕΦΑΛΑΙΩΝ  (WACC)</t>
  </si>
  <si>
    <t>Βραχυπρόθεσμες Υποχρεώσεις</t>
  </si>
  <si>
    <t>Μακροπρόθεσμες Υποχρεώσεις</t>
  </si>
  <si>
    <t>Σύνολο Υποχρεώσεων (D)</t>
  </si>
  <si>
    <t>Καθαρή Περιουσία Μετόχων</t>
  </si>
  <si>
    <t>Σύνολο Καθαρής Περιουσίας Μετόχων (S)</t>
  </si>
  <si>
    <t>Υπολογισμός Κόστους Δανείων</t>
  </si>
  <si>
    <t>Τόκοι καταβληθέντες/τοκοι  μακροπροθεσμου δανεισμού</t>
  </si>
  <si>
    <t>Μέσες Μακροπρόθεσμες Υποχρεώσεις</t>
  </si>
  <si>
    <t>Rd</t>
  </si>
  <si>
    <t>Rs</t>
  </si>
  <si>
    <t>Σύνολο Δανειακών Κεφαλαίων 2004 (D)</t>
  </si>
  <si>
    <t>Σύνολο Ιδίων Κεφαλαίων 2004 (S)</t>
  </si>
  <si>
    <t>D+S</t>
  </si>
  <si>
    <t>D/(D+S)</t>
  </si>
  <si>
    <t>S/(D+S)</t>
  </si>
  <si>
    <t>T</t>
  </si>
  <si>
    <t>WACC</t>
  </si>
  <si>
    <t>ΔΙΑΧΡΟΝΙΚΗΣ ΠΑΡΟΥΣΙΑΣΗ ROΤA and WACC</t>
  </si>
  <si>
    <t>ROΤA</t>
  </si>
  <si>
    <t>ΥΠΟΛΟΓΙΣΜΟΣ ΔΙΚΑΙΗΣ ΤΙΜΗΣ ΜΕΤΟΧΗΣ ΜΕΘΟΔΟΣ GORDON</t>
  </si>
  <si>
    <t>E2014</t>
  </si>
  <si>
    <t>Profit (Κέρδη) ανά  μετοχή</t>
  </si>
  <si>
    <t>Dividents (Μερίσμα ανά μετοχή)</t>
  </si>
  <si>
    <t>Retention Ratio/ εφαρμοζει απλη μεθοδο των τριων</t>
  </si>
  <si>
    <t>g (ρυθμός αύξησης μερίσματος ανά μετοχή)</t>
  </si>
  <si>
    <t>ΥΠΟΛΟΓΙΣΜΟΣ MVA</t>
  </si>
  <si>
    <t>Τιμή Μετοχής (price per share)</t>
  </si>
  <si>
    <t>Αριθμός Μετοχών (number of shares)</t>
  </si>
  <si>
    <t>Market Value of Equity</t>
  </si>
  <si>
    <t>Book value of Equity</t>
  </si>
  <si>
    <t>MVA</t>
  </si>
  <si>
    <t>ΥΠΟΛΟΓΙΣΜΟΣ EVA</t>
  </si>
  <si>
    <t>EBIT</t>
  </si>
  <si>
    <t>Φορολογικός Συντελεστής (tax rate)</t>
  </si>
  <si>
    <t>NOWC</t>
  </si>
  <si>
    <t>Operating Capital</t>
  </si>
  <si>
    <t>Cost of Capital</t>
  </si>
  <si>
    <t>ΥΠΟΛΟΓΙΣΜΟΣ FREE CASH FLOW ( FCF)</t>
  </si>
  <si>
    <t>NOPAT</t>
  </si>
  <si>
    <t>Αποσβέσεις</t>
  </si>
  <si>
    <t>Δ Working Capital</t>
  </si>
  <si>
    <t>Δ Capex</t>
  </si>
  <si>
    <t>FCF</t>
  </si>
  <si>
    <t>ΔFCF</t>
  </si>
  <si>
    <t>Firms Value from FCF method</t>
  </si>
  <si>
    <t>ΥΠΟΛΟΓΙΣΜΟΣ EQUITY CASH FLOW (ECF)</t>
  </si>
  <si>
    <t>FCF/ σελ 69</t>
  </si>
  <si>
    <t>INTEREST PAYMENTS (πληρωμή τόκων)</t>
  </si>
  <si>
    <t>PRINCIPAL REPAYMENTS</t>
  </si>
  <si>
    <t>NEW DEBT</t>
  </si>
  <si>
    <t>ECF</t>
  </si>
  <si>
    <t>ΔECF</t>
  </si>
  <si>
    <t>Firms Value from ECF method</t>
  </si>
  <si>
    <t>Οικονομικές καταστάσεις εκφρασμένες σε χιλιαδες ευρώ</t>
  </si>
  <si>
    <t xml:space="preserve">Συντελεστής Ρευστότητας/ current assets προς current liabilities </t>
  </si>
  <si>
    <t>Κυκλοφοριακή ταχύτητα απαιτήσεων</t>
  </si>
  <si>
    <t xml:space="preserve">ROTA </t>
  </si>
  <si>
    <t xml:space="preserve">ROS </t>
  </si>
  <si>
    <t>ΡΕΥΣΤΟΤΗΤΑΣ</t>
  </si>
  <si>
    <t>ΚΕΡΔΟΦΟΡΙΑΣ</t>
  </si>
  <si>
    <t>ΦΕΡΕΓΓΥΟΤΗΤΑΣ</t>
  </si>
  <si>
    <t>LIQUIDITY (ΡΕΥΣΤΟΤΗΤΑ)/ ΔΕΙΚΤΗΣ ΓΕΝΙΚΗΣ ΡΕΥΣΤΟΤΗΤΑΣ</t>
  </si>
  <si>
    <t xml:space="preserve">Δίκαιη τιμή μετοχής έτους 2014 </t>
  </si>
  <si>
    <t xml:space="preserve">EVA </t>
  </si>
  <si>
    <t>Rf</t>
  </si>
  <si>
    <t>Rm</t>
  </si>
  <si>
    <t>BETA</t>
  </si>
  <si>
    <t>Μακροπρόθεσμα δάνεια από συνδεδεμένες εταιρείες</t>
  </si>
  <si>
    <t>CAPM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</si>
</sst>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1" x14ac:knownFonts="1">
    <font>
      <sz val="11"/>
      <color rgb="FF000000"/>
      <name val="Calibri"/>
      <family val="2"/>
      <charset val="161"/>
    </font>
    <font>
      <sz val="12"/>
      <color rgb="FF000000"/>
      <name val="Arial"/>
      <family val="2"/>
      <charset val="161"/>
    </font>
    <font>
      <b/>
      <u/>
      <sz val="12"/>
      <color rgb="FF000000"/>
      <name val="Arial"/>
      <family val="2"/>
      <charset val="161"/>
    </font>
    <font>
      <b/>
      <sz val="12"/>
      <color rgb="FF000000"/>
      <name val="Arial"/>
      <family val="2"/>
      <charset val="161"/>
    </font>
    <font>
      <u/>
      <sz val="12"/>
      <color rgb="FF000000"/>
      <name val="Arial"/>
      <family val="2"/>
      <charset val="161"/>
    </font>
    <font>
      <i/>
      <sz val="12"/>
      <color rgb="FF000000"/>
      <name val="Arial"/>
      <family val="2"/>
      <charset val="161"/>
    </font>
    <font>
      <sz val="12"/>
      <name val="Arial"/>
      <family val="2"/>
      <charset val="161"/>
    </font>
    <font>
      <b/>
      <u/>
      <sz val="12"/>
      <name val="Arial"/>
      <family val="2"/>
      <charset val="161"/>
    </font>
    <font>
      <b/>
      <u/>
      <sz val="10"/>
      <name val="Arial"/>
      <family val="2"/>
      <charset val="161"/>
    </font>
    <font>
      <sz val="12"/>
      <color rgb="FF000000"/>
      <name val="Calibri"/>
      <family val="2"/>
      <charset val="161"/>
    </font>
    <font>
      <sz val="10"/>
      <name val="Arial"/>
      <family val="2"/>
      <charset val="161"/>
    </font>
    <font>
      <sz val="11"/>
      <color rgb="FF000000"/>
      <name val="Arial"/>
      <family val="2"/>
      <charset val="161"/>
    </font>
    <font>
      <b/>
      <sz val="11"/>
      <color rgb="FF000000"/>
      <name val="Arial"/>
      <family val="2"/>
      <charset val="161"/>
    </font>
    <font>
      <b/>
      <sz val="9"/>
      <color rgb="FF000000"/>
      <name val="Tahoma"/>
      <family val="2"/>
      <charset val="161"/>
    </font>
    <font>
      <sz val="9"/>
      <color rgb="FF000000"/>
      <name val="Tahoma"/>
      <family val="2"/>
      <charset val="161"/>
    </font>
    <font>
      <b/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indexed="81"/>
      <name val="Tahoma"/>
      <family val="2"/>
      <charset val="161"/>
    </font>
    <font>
      <b/>
      <u/>
      <sz val="12"/>
      <color theme="1"/>
      <name val="Arial"/>
      <family val="2"/>
      <charset val="161"/>
    </font>
    <font>
      <b/>
      <sz val="9"/>
      <color indexed="81"/>
      <name val="Tahoma"/>
      <family val="2"/>
      <charset val="161"/>
    </font>
    <font>
      <sz val="11"/>
      <color rgb="FF000000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64">
    <xf numFmtId="0" fontId="0" fillId="0" borderId="0" xfId="0"/>
    <xf numFmtId="0" fontId="6" fillId="0" borderId="1" xfId="0" applyFont="1" applyBorder="1"/>
    <xf numFmtId="0" fontId="10" fillId="0" borderId="1" xfId="0" applyFont="1" applyBorder="1" applyAlignment="1">
      <alignment horizontal="center"/>
    </xf>
    <xf numFmtId="0" fontId="1" fillId="0" borderId="1" xfId="0" applyFont="1" applyBorder="1"/>
    <xf numFmtId="3" fontId="10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18" fillId="0" borderId="0" xfId="0" applyFont="1" applyAlignment="1">
      <alignment horizontal="center"/>
    </xf>
    <xf numFmtId="0" fontId="16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11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0" fontId="11" fillId="0" borderId="1" xfId="0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0" fontId="15" fillId="0" borderId="1" xfId="0" applyFont="1" applyBorder="1"/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5" fillId="0" borderId="0" xfId="0" applyFont="1"/>
    <xf numFmtId="3" fontId="3" fillId="0" borderId="0" xfId="0" applyNumberFormat="1" applyFont="1" applyAlignment="1">
      <alignment horizontal="center"/>
    </xf>
    <xf numFmtId="4" fontId="16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0" fontId="16" fillId="0" borderId="1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0" applyFont="1"/>
    <xf numFmtId="0" fontId="1" fillId="0" borderId="1" xfId="0" applyFont="1" applyBorder="1" applyAlignment="1">
      <alignment horizontal="right"/>
    </xf>
    <xf numFmtId="10" fontId="1" fillId="0" borderId="1" xfId="1" applyNumberFormat="1" applyFont="1" applyFill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FF000000"/>
      <rgbColor rgb="FFE6E0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729FCF"/>
      <rgbColor rgb="FF993366"/>
      <rgbColor rgb="FFEBF1DE"/>
      <rgbColor rgb="FFCCFFFF"/>
      <rgbColor rgb="FF660066"/>
      <rgbColor rgb="FFFF8080"/>
      <rgbColor rgb="FF0066CC"/>
      <rgbColor rgb="FFC6D9F1"/>
      <rgbColor rgb="FF000080"/>
      <rgbColor rgb="FFFF00FF"/>
      <rgbColor rgb="FFCC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FF"/>
      <rgbColor rgb="FFCC99FF"/>
      <rgbColor rgb="FFF2DCDB"/>
      <rgbColor rgb="FF3366FF"/>
      <rgbColor rgb="FF66FF66"/>
      <rgbColor rgb="FF99CC00"/>
      <rgbColor rgb="FFFFCC00"/>
      <rgbColor rgb="FFFF950E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CHARTS!$C$2</c:f>
              <c:strCache>
                <c:ptCount val="1"/>
                <c:pt idx="0">
                  <c:v>Κεφάλαιο Κίνησης/Κυκλ. Ενεργεργητικο Μειον τρεχουσες υποχρεωσεις</c:v>
                </c:pt>
              </c:strCache>
            </c:strRef>
          </c:tx>
          <c:xVal>
            <c:numRef>
              <c:f>CHARTS!$B$3:$B$11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xVal>
          <c:yVal>
            <c:numRef>
              <c:f>CHARTS!$C$3:$C$11</c:f>
              <c:numCache>
                <c:formatCode>General</c:formatCode>
                <c:ptCount val="9"/>
                <c:pt idx="0">
                  <c:v>-9686</c:v>
                </c:pt>
                <c:pt idx="1">
                  <c:v>-30179</c:v>
                </c:pt>
                <c:pt idx="2">
                  <c:v>-42937</c:v>
                </c:pt>
                <c:pt idx="3">
                  <c:v>-147448</c:v>
                </c:pt>
                <c:pt idx="4">
                  <c:v>-309764</c:v>
                </c:pt>
                <c:pt idx="5">
                  <c:v>-488655</c:v>
                </c:pt>
                <c:pt idx="6">
                  <c:v>-176591</c:v>
                </c:pt>
                <c:pt idx="7">
                  <c:v>56655</c:v>
                </c:pt>
                <c:pt idx="8">
                  <c:v>3368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5D6-445C-A1BE-C09064B78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261696"/>
        <c:axId val="123263232"/>
      </c:scatterChart>
      <c:valAx>
        <c:axId val="12326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263232"/>
        <c:crosses val="autoZero"/>
        <c:crossBetween val="midCat"/>
      </c:valAx>
      <c:valAx>
        <c:axId val="123263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2616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CHARTS!$M$2</c:f>
              <c:strCache>
                <c:ptCount val="1"/>
                <c:pt idx="0">
                  <c:v>Κέρδη εις νέο προς σύνολο Ενεργητικού</c:v>
                </c:pt>
              </c:strCache>
            </c:strRef>
          </c:tx>
          <c:xVal>
            <c:numRef>
              <c:f>CHARTS!$B$3:$B$11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xVal>
          <c:yVal>
            <c:numRef>
              <c:f>CHARTS!$M$3:$M$11</c:f>
              <c:numCache>
                <c:formatCode>General</c:formatCode>
                <c:ptCount val="9"/>
                <c:pt idx="0">
                  <c:v>0.17651541137280813</c:v>
                </c:pt>
                <c:pt idx="1">
                  <c:v>0.19918886486219475</c:v>
                </c:pt>
                <c:pt idx="2">
                  <c:v>0.18841681811216562</c:v>
                </c:pt>
                <c:pt idx="3">
                  <c:v>0.17071731293822368</c:v>
                </c:pt>
                <c:pt idx="4">
                  <c:v>0.12378568440218118</c:v>
                </c:pt>
                <c:pt idx="5">
                  <c:v>0.10255165645473595</c:v>
                </c:pt>
                <c:pt idx="6">
                  <c:v>0.14513948139903579</c:v>
                </c:pt>
                <c:pt idx="7">
                  <c:v>0.16164852063489621</c:v>
                </c:pt>
                <c:pt idx="8">
                  <c:v>0.16701980217226833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92-402B-9A0C-2F185BC4D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242560"/>
        <c:axId val="124252544"/>
      </c:scatterChart>
      <c:valAx>
        <c:axId val="12424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252544"/>
        <c:crosses val="autoZero"/>
        <c:crossBetween val="midCat"/>
      </c:valAx>
      <c:valAx>
        <c:axId val="124252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2425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CHARTS!$N$2</c:f>
              <c:strCache>
                <c:ptCount val="1"/>
                <c:pt idx="0">
                  <c:v>EBIT προς σύνολο Ενεργητικού</c:v>
                </c:pt>
              </c:strCache>
            </c:strRef>
          </c:tx>
          <c:xVal>
            <c:numRef>
              <c:f>CHARTS!$B$3:$B$11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xVal>
          <c:yVal>
            <c:numRef>
              <c:f>CHARTS!$N$3:$N$11</c:f>
              <c:numCache>
                <c:formatCode>General</c:formatCode>
                <c:ptCount val="9"/>
                <c:pt idx="0">
                  <c:v>0.15057080437490072</c:v>
                </c:pt>
                <c:pt idx="1">
                  <c:v>0.18339285121155008</c:v>
                </c:pt>
                <c:pt idx="2">
                  <c:v>0.17213732204258805</c:v>
                </c:pt>
                <c:pt idx="3">
                  <c:v>0.10748048171759228</c:v>
                </c:pt>
                <c:pt idx="4">
                  <c:v>0.10369333164380973</c:v>
                </c:pt>
                <c:pt idx="5">
                  <c:v>8.1863080554892442E-2</c:v>
                </c:pt>
                <c:pt idx="6">
                  <c:v>0.11207323277800577</c:v>
                </c:pt>
                <c:pt idx="7">
                  <c:v>8.5123397506837242E-2</c:v>
                </c:pt>
                <c:pt idx="8">
                  <c:v>4.2493194148368642E-2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5F-4BDA-B6E9-F59EDF02D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146048"/>
        <c:axId val="124147584"/>
      </c:scatterChart>
      <c:valAx>
        <c:axId val="12414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147584"/>
        <c:crosses val="autoZero"/>
        <c:crossBetween val="midCat"/>
      </c:valAx>
      <c:valAx>
        <c:axId val="124147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1460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CHARTS!$P$2</c:f>
              <c:strCache>
                <c:ptCount val="1"/>
                <c:pt idx="0">
                  <c:v>DTE</c:v>
                </c:pt>
              </c:strCache>
            </c:strRef>
          </c:tx>
          <c:xVal>
            <c:numRef>
              <c:f>CHARTS!$B$3:$B$11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xVal>
          <c:yVal>
            <c:numRef>
              <c:f>CHARTS!$P$3:$P$11</c:f>
              <c:numCache>
                <c:formatCode>General</c:formatCode>
                <c:ptCount val="9"/>
                <c:pt idx="0">
                  <c:v>2.848253439523738</c:v>
                </c:pt>
                <c:pt idx="1">
                  <c:v>2.4107683369644155</c:v>
                </c:pt>
                <c:pt idx="2">
                  <c:v>2.7588639501740087</c:v>
                </c:pt>
                <c:pt idx="3">
                  <c:v>2.8377433515714467</c:v>
                </c:pt>
                <c:pt idx="4">
                  <c:v>3.244774513810428</c:v>
                </c:pt>
                <c:pt idx="5">
                  <c:v>4.2471962343666929</c:v>
                </c:pt>
                <c:pt idx="6">
                  <c:v>3.569195073585949</c:v>
                </c:pt>
                <c:pt idx="7">
                  <c:v>3.3288857044069435</c:v>
                </c:pt>
                <c:pt idx="8">
                  <c:v>3.2080634920634923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94-407C-A00A-A7A3B2B31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172160"/>
        <c:axId val="124173696"/>
      </c:scatterChart>
      <c:valAx>
        <c:axId val="12417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173696"/>
        <c:crosses val="autoZero"/>
        <c:crossBetween val="midCat"/>
      </c:valAx>
      <c:valAx>
        <c:axId val="124173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1721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CHARTS!$Q$2</c:f>
              <c:strCache>
                <c:ptCount val="1"/>
                <c:pt idx="0">
                  <c:v>DR</c:v>
                </c:pt>
              </c:strCache>
            </c:strRef>
          </c:tx>
          <c:xVal>
            <c:numRef>
              <c:f>CHARTS!$B$3:$B$11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xVal>
          <c:yVal>
            <c:numRef>
              <c:f>CHARTS!$Q$3:$Q$11</c:f>
              <c:numCache>
                <c:formatCode>General</c:formatCode>
                <c:ptCount val="9"/>
                <c:pt idx="0">
                  <c:v>0.74014185507393182</c:v>
                </c:pt>
                <c:pt idx="1">
                  <c:v>0.70681092903248888</c:v>
                </c:pt>
                <c:pt idx="2">
                  <c:v>0.73396217227981686</c:v>
                </c:pt>
                <c:pt idx="3">
                  <c:v>0.7394302045782899</c:v>
                </c:pt>
                <c:pt idx="4">
                  <c:v>0.76441622593933145</c:v>
                </c:pt>
                <c:pt idx="5">
                  <c:v>0.80942203124585554</c:v>
                </c:pt>
                <c:pt idx="6">
                  <c:v>0.78114307139546346</c:v>
                </c:pt>
                <c:pt idx="7">
                  <c:v>0.76899366989939966</c:v>
                </c:pt>
                <c:pt idx="8">
                  <c:v>0.76236100004526453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EC6-49B8-9AD5-B368C8D31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259712"/>
        <c:axId val="124281984"/>
      </c:scatterChart>
      <c:valAx>
        <c:axId val="12425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281984"/>
        <c:crosses val="autoZero"/>
        <c:crossBetween val="midCat"/>
      </c:valAx>
      <c:valAx>
        <c:axId val="124281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259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CHARTS!$R$2</c:f>
              <c:strCache>
                <c:ptCount val="1"/>
                <c:pt idx="0">
                  <c:v>TIE</c:v>
                </c:pt>
              </c:strCache>
            </c:strRef>
          </c:tx>
          <c:xVal>
            <c:numRef>
              <c:f>CHARTS!$B$3:$B$11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xVal>
          <c:yVal>
            <c:numRef>
              <c:f>CHARTS!$R$3:$R$11</c:f>
              <c:numCache>
                <c:formatCode>General</c:formatCode>
                <c:ptCount val="9"/>
                <c:pt idx="0">
                  <c:v>25.522632674297608</c:v>
                </c:pt>
                <c:pt idx="1">
                  <c:v>8.3679322271013881</c:v>
                </c:pt>
                <c:pt idx="2">
                  <c:v>7.5159293418790059</c:v>
                </c:pt>
                <c:pt idx="3">
                  <c:v>4.2777777777777777</c:v>
                </c:pt>
                <c:pt idx="4">
                  <c:v>9.1128530546223718</c:v>
                </c:pt>
                <c:pt idx="5">
                  <c:v>5.5719805018956494</c:v>
                </c:pt>
                <c:pt idx="6">
                  <c:v>4.4931744653988792</c:v>
                </c:pt>
                <c:pt idx="7">
                  <c:v>2.8284517490567245</c:v>
                </c:pt>
                <c:pt idx="8">
                  <c:v>1.4161518569068314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5A-4339-B772-CAAE82EB4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319232"/>
        <c:axId val="124320768"/>
      </c:scatterChart>
      <c:valAx>
        <c:axId val="12431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320768"/>
        <c:crosses val="autoZero"/>
        <c:crossBetween val="midCat"/>
      </c:valAx>
      <c:valAx>
        <c:axId val="124320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3192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CHARTS!$S$2</c:f>
              <c:strCache>
                <c:ptCount val="1"/>
                <c:pt idx="0">
                  <c:v>Κεφάλαια (equity) προς σύνολο υποχρεώσεων</c:v>
                </c:pt>
              </c:strCache>
            </c:strRef>
          </c:tx>
          <c:xVal>
            <c:numRef>
              <c:f>CHARTS!$B$3:$B$11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xVal>
          <c:yVal>
            <c:numRef>
              <c:f>CHARTS!$S$3:$S$11</c:f>
              <c:numCache>
                <c:formatCode>General</c:formatCode>
                <c:ptCount val="9"/>
                <c:pt idx="0">
                  <c:v>0.35109235228983415</c:v>
                </c:pt>
                <c:pt idx="1">
                  <c:v>0.41480551435281304</c:v>
                </c:pt>
                <c:pt idx="2">
                  <c:v>0.36246803686601775</c:v>
                </c:pt>
                <c:pt idx="3">
                  <c:v>0.35239268535198354</c:v>
                </c:pt>
                <c:pt idx="4">
                  <c:v>0.30818782499178116</c:v>
                </c:pt>
                <c:pt idx="5">
                  <c:v>0.23544944589759739</c:v>
                </c:pt>
                <c:pt idx="6">
                  <c:v>0.28017521580721727</c:v>
                </c:pt>
                <c:pt idx="7">
                  <c:v>0.3004008214148508</c:v>
                </c:pt>
                <c:pt idx="8">
                  <c:v>0.31171452886575496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90-4368-87C8-E4815F08D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406784"/>
        <c:axId val="124420864"/>
      </c:scatterChart>
      <c:valAx>
        <c:axId val="1244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420864"/>
        <c:crosses val="autoZero"/>
        <c:crossBetween val="midCat"/>
      </c:valAx>
      <c:valAx>
        <c:axId val="124420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4067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CHARTS!$D$2</c:f>
              <c:strCache>
                <c:ptCount val="1"/>
                <c:pt idx="0">
                  <c:v>Συντελεστής Ρευστότητας/ current assets προς current liabilities </c:v>
                </c:pt>
              </c:strCache>
            </c:strRef>
          </c:tx>
          <c:xVal>
            <c:numRef>
              <c:f>CHARTS!$B$3:$B$11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xVal>
          <c:yVal>
            <c:numRef>
              <c:f>CHARTS!$D$3:$D$11</c:f>
              <c:numCache>
                <c:formatCode>General</c:formatCode>
                <c:ptCount val="9"/>
                <c:pt idx="0">
                  <c:v>0.98310798438107661</c:v>
                </c:pt>
                <c:pt idx="1">
                  <c:v>0.93600191703724434</c:v>
                </c:pt>
                <c:pt idx="2">
                  <c:v>0.93940997505108315</c:v>
                </c:pt>
                <c:pt idx="3">
                  <c:v>0.75207739930792594</c:v>
                </c:pt>
                <c:pt idx="4">
                  <c:v>0.62214225594359529</c:v>
                </c:pt>
                <c:pt idx="5">
                  <c:v>0.63545233587130212</c:v>
                </c:pt>
                <c:pt idx="6">
                  <c:v>0.85331316494221943</c:v>
                </c:pt>
                <c:pt idx="7">
                  <c:v>1.05561767474827</c:v>
                </c:pt>
                <c:pt idx="8">
                  <c:v>1.003864033739164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D4F-47C4-BF97-A6D1D3701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308288"/>
        <c:axId val="123318272"/>
      </c:scatterChart>
      <c:valAx>
        <c:axId val="12330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318272"/>
        <c:crosses val="autoZero"/>
        <c:crossBetween val="midCat"/>
      </c:valAx>
      <c:valAx>
        <c:axId val="123318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3082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CHARTS!$E$2</c:f>
              <c:strCache>
                <c:ptCount val="1"/>
                <c:pt idx="0">
                  <c:v>Κυκλοφοριακή ταχύτητα απαιτήσεων</c:v>
                </c:pt>
              </c:strCache>
            </c:strRef>
          </c:tx>
          <c:xVal>
            <c:numRef>
              <c:f>CHARTS!$B$3:$B$11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xVal>
          <c:yVal>
            <c:numRef>
              <c:f>CHARTS!$E$3:$E$11</c:f>
              <c:numCache>
                <c:formatCode>General</c:formatCode>
                <c:ptCount val="9"/>
                <c:pt idx="0">
                  <c:v>31.054416405673631</c:v>
                </c:pt>
                <c:pt idx="1">
                  <c:v>25.41408587059956</c:v>
                </c:pt>
                <c:pt idx="2">
                  <c:v>30.930263854505874</c:v>
                </c:pt>
                <c:pt idx="3">
                  <c:v>14.837352609885302</c:v>
                </c:pt>
                <c:pt idx="4">
                  <c:v>25.75830281330099</c:v>
                </c:pt>
                <c:pt idx="5">
                  <c:v>21.792132259237352</c:v>
                </c:pt>
                <c:pt idx="6">
                  <c:v>16.560030914686827</c:v>
                </c:pt>
                <c:pt idx="7">
                  <c:v>13.089532369124274</c:v>
                </c:pt>
                <c:pt idx="8">
                  <c:v>13.489026137338799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91-47A9-9885-54BFC0E1C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338752"/>
        <c:axId val="123340288"/>
      </c:scatterChart>
      <c:valAx>
        <c:axId val="12333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340288"/>
        <c:crosses val="autoZero"/>
        <c:crossBetween val="midCat"/>
      </c:valAx>
      <c:valAx>
        <c:axId val="123340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338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CHARTS!$F$2</c:f>
              <c:strCache>
                <c:ptCount val="1"/>
                <c:pt idx="0">
                  <c:v>Κυκλοφοριακή ταχύτητα αποθεμάτων</c:v>
                </c:pt>
              </c:strCache>
            </c:strRef>
          </c:tx>
          <c:xVal>
            <c:numRef>
              <c:f>CHARTS!$B$3:$B$11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xVal>
          <c:yVal>
            <c:numRef>
              <c:f>CHARTS!$F$3:$F$11</c:f>
              <c:numCache>
                <c:formatCode>General</c:formatCode>
                <c:ptCount val="9"/>
                <c:pt idx="0">
                  <c:v>38.478458797531545</c:v>
                </c:pt>
                <c:pt idx="1">
                  <c:v>18.314086531812325</c:v>
                </c:pt>
                <c:pt idx="2">
                  <c:v>33.359748091826781</c:v>
                </c:pt>
                <c:pt idx="3">
                  <c:v>16.865663216714307</c:v>
                </c:pt>
                <c:pt idx="4">
                  <c:v>25.962152488138837</c:v>
                </c:pt>
                <c:pt idx="5">
                  <c:v>40.046598197351813</c:v>
                </c:pt>
                <c:pt idx="6">
                  <c:v>30.622003442988206</c:v>
                </c:pt>
                <c:pt idx="7">
                  <c:v>27.007686043886963</c:v>
                </c:pt>
                <c:pt idx="8">
                  <c:v>22.466415968110901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20-4552-A2A6-5C6F0BA23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364864"/>
        <c:axId val="123366400"/>
      </c:scatterChart>
      <c:valAx>
        <c:axId val="1233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366400"/>
        <c:crosses val="autoZero"/>
        <c:crossBetween val="midCat"/>
      </c:valAx>
      <c:valAx>
        <c:axId val="123366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3648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6626377952755905"/>
          <c:y val="1.8518518518518521E-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CHARTS!$G$2</c:f>
              <c:strCache>
                <c:ptCount val="1"/>
                <c:pt idx="0">
                  <c:v>Κεφάλαιο Κίνησης προς σύνολο Ενεργητικού</c:v>
                </c:pt>
              </c:strCache>
            </c:strRef>
          </c:tx>
          <c:xVal>
            <c:numRef>
              <c:f>CHARTS!$B$3:$B$11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xVal>
          <c:yVal>
            <c:numRef>
              <c:f>CHARTS!$G$3:$G$11</c:f>
              <c:numCache>
                <c:formatCode>General</c:formatCode>
                <c:ptCount val="9"/>
                <c:pt idx="0">
                  <c:v>-7.4326963437364993E-3</c:v>
                </c:pt>
                <c:pt idx="1">
                  <c:v>-2.5702695636103178E-2</c:v>
                </c:pt>
                <c:pt idx="2">
                  <c:v>-3.0745226423551889E-2</c:v>
                </c:pt>
                <c:pt idx="3">
                  <c:v>-0.12221814224246187</c:v>
                </c:pt>
                <c:pt idx="4">
                  <c:v>-0.21928223090738036</c:v>
                </c:pt>
                <c:pt idx="5">
                  <c:v>-0.25922654571496778</c:v>
                </c:pt>
                <c:pt idx="6">
                  <c:v>-8.6891592539341853E-2</c:v>
                </c:pt>
                <c:pt idx="7">
                  <c:v>2.7259945994945928E-2</c:v>
                </c:pt>
                <c:pt idx="8">
                  <c:v>1.8148937683617888E-3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592-448E-8758-24D8FE5A8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403264"/>
        <c:axId val="123998976"/>
      </c:scatterChart>
      <c:valAx>
        <c:axId val="1234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998976"/>
        <c:crosses val="autoZero"/>
        <c:crossBetween val="midCat"/>
      </c:valAx>
      <c:valAx>
        <c:axId val="123998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4032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CHARTS!$I$2</c:f>
              <c:strCache>
                <c:ptCount val="1"/>
                <c:pt idx="0">
                  <c:v>ROTA </c:v>
                </c:pt>
              </c:strCache>
            </c:strRef>
          </c:tx>
          <c:xVal>
            <c:numRef>
              <c:f>CHARTS!$B$3:$B$11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xVal>
          <c:yVal>
            <c:numRef>
              <c:f>CHARTS!$I$3:$I$11</c:f>
              <c:numCache>
                <c:formatCode>General</c:formatCode>
                <c:ptCount val="9"/>
                <c:pt idx="0">
                  <c:v>0.10028461563843608</c:v>
                </c:pt>
                <c:pt idx="1">
                  <c:v>0.10856640125639075</c:v>
                </c:pt>
                <c:pt idx="2">
                  <c:v>0.11076143789445644</c:v>
                </c:pt>
                <c:pt idx="3">
                  <c:v>6.2802492968942331E-2</c:v>
                </c:pt>
                <c:pt idx="4">
                  <c:v>6.0102206739641818E-2</c:v>
                </c:pt>
                <c:pt idx="5">
                  <c:v>4.3649770563115038E-2</c:v>
                </c:pt>
                <c:pt idx="6">
                  <c:v>6.9344599308965055E-2</c:v>
                </c:pt>
                <c:pt idx="7">
                  <c:v>4.3762185299308483E-2</c:v>
                </c:pt>
                <c:pt idx="8">
                  <c:v>3.0041664960264174E-3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E4-4D6D-B927-3CACE6613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035840"/>
        <c:axId val="124037376"/>
      </c:scatterChart>
      <c:valAx>
        <c:axId val="1240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037376"/>
        <c:crosses val="autoZero"/>
        <c:crossBetween val="midCat"/>
      </c:valAx>
      <c:valAx>
        <c:axId val="124037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0358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CHARTS!$J$2</c:f>
              <c:strCache>
                <c:ptCount val="1"/>
                <c:pt idx="0">
                  <c:v>ROE</c:v>
                </c:pt>
              </c:strCache>
            </c:strRef>
          </c:tx>
          <c:xVal>
            <c:numRef>
              <c:f>CHARTS!$B$3:$B$11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xVal>
          <c:yVal>
            <c:numRef>
              <c:f>CHARTS!$J$3:$J$11</c:f>
              <c:numCache>
                <c:formatCode>General</c:formatCode>
                <c:ptCount val="9"/>
                <c:pt idx="0">
                  <c:v>0.38592061706192765</c:v>
                </c:pt>
                <c:pt idx="1">
                  <c:v>0.37029484386347133</c:v>
                </c:pt>
                <c:pt idx="2">
                  <c:v>0.41633717597090969</c:v>
                </c:pt>
                <c:pt idx="3">
                  <c:v>0.24101984985367095</c:v>
                </c:pt>
                <c:pt idx="4">
                  <c:v>0.25512031539219693</c:v>
                </c:pt>
                <c:pt idx="5">
                  <c:v>0.22903891172974733</c:v>
                </c:pt>
                <c:pt idx="6">
                  <c:v>0.31684900154231471</c:v>
                </c:pt>
                <c:pt idx="7">
                  <c:v>0.18944149833578419</c:v>
                </c:pt>
                <c:pt idx="8">
                  <c:v>1.264172335600907E-2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762-4D72-B87B-0DC752003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074240"/>
        <c:axId val="124080128"/>
      </c:scatterChart>
      <c:valAx>
        <c:axId val="12407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080128"/>
        <c:crosses val="autoZero"/>
        <c:crossBetween val="midCat"/>
      </c:valAx>
      <c:valAx>
        <c:axId val="124080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0742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CHARTS!$K$2</c:f>
              <c:strCache>
                <c:ptCount val="1"/>
                <c:pt idx="0">
                  <c:v>ROS </c:v>
                </c:pt>
              </c:strCache>
            </c:strRef>
          </c:tx>
          <c:xVal>
            <c:numRef>
              <c:f>CHARTS!$B$3:$B$11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xVal>
          <c:yVal>
            <c:numRef>
              <c:f>CHARTS!$K$3:$K$11</c:f>
              <c:numCache>
                <c:formatCode>General</c:formatCode>
                <c:ptCount val="9"/>
                <c:pt idx="0">
                  <c:v>4.4698127656459863E-2</c:v>
                </c:pt>
                <c:pt idx="1">
                  <c:v>3.5119764916822192E-2</c:v>
                </c:pt>
                <c:pt idx="2">
                  <c:v>4.1591145032995595E-2</c:v>
                </c:pt>
                <c:pt idx="3">
                  <c:v>1.4980373687830817E-2</c:v>
                </c:pt>
                <c:pt idx="4">
                  <c:v>2.4304002995419276E-2</c:v>
                </c:pt>
                <c:pt idx="5">
                  <c:v>1.6863602025386604E-2</c:v>
                </c:pt>
                <c:pt idx="6">
                  <c:v>1.9721196879200709E-2</c:v>
                </c:pt>
                <c:pt idx="7">
                  <c:v>1.1037515806540084E-2</c:v>
                </c:pt>
                <c:pt idx="8">
                  <c:v>7.1076304333053751E-4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25D-4BF1-8D9E-A11449D4B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087680"/>
        <c:axId val="124105856"/>
      </c:scatterChart>
      <c:valAx>
        <c:axId val="12408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105856"/>
        <c:crosses val="autoZero"/>
        <c:crossBetween val="midCat"/>
      </c:valAx>
      <c:valAx>
        <c:axId val="12410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0876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CHARTS!$L$2</c:f>
              <c:strCache>
                <c:ptCount val="1"/>
                <c:pt idx="0">
                  <c:v>ROWC</c:v>
                </c:pt>
              </c:strCache>
            </c:strRef>
          </c:tx>
          <c:xVal>
            <c:numRef>
              <c:f>CHARTS!$B$3:$B$11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xVal>
          <c:yVal>
            <c:numRef>
              <c:f>CHARTS!$L$3:$L$11</c:f>
              <c:numCache>
                <c:formatCode>General</c:formatCode>
                <c:ptCount val="9"/>
                <c:pt idx="0">
                  <c:v>-13.492360107371464</c:v>
                </c:pt>
                <c:pt idx="1">
                  <c:v>-4.2239305477318663</c:v>
                </c:pt>
                <c:pt idx="2">
                  <c:v>-3.6025572350187485</c:v>
                </c:pt>
                <c:pt idx="3">
                  <c:v>-0.51385573219033154</c:v>
                </c:pt>
                <c:pt idx="4">
                  <c:v>-0.27408607843390453</c:v>
                </c:pt>
                <c:pt idx="5">
                  <c:v>-0.16838464765529873</c:v>
                </c:pt>
                <c:pt idx="6">
                  <c:v>-0.79805879121812551</c:v>
                </c:pt>
                <c:pt idx="7">
                  <c:v>1.6053658106080664</c:v>
                </c:pt>
                <c:pt idx="8">
                  <c:v>1.6552850356294537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6C-4037-B261-2E072175C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204160"/>
        <c:axId val="124205696"/>
      </c:scatterChart>
      <c:valAx>
        <c:axId val="12420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205696"/>
        <c:crosses val="autoZero"/>
        <c:crossBetween val="midCat"/>
      </c:valAx>
      <c:valAx>
        <c:axId val="124205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2041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438150</xdr:colOff>
      <xdr:row>48</xdr:row>
      <xdr:rowOff>28575</xdr:rowOff>
    </xdr:to>
    <xdr:sp macro="" textlink="">
      <xdr:nvSpPr>
        <xdr:cNvPr id="1070" name="shapetype_202" hidden="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34550" cy="9591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438150</xdr:colOff>
      <xdr:row>48</xdr:row>
      <xdr:rowOff>28575</xdr:rowOff>
    </xdr:to>
    <xdr:sp macro="" textlink="">
      <xdr:nvSpPr>
        <xdr:cNvPr id="1068" name="Text Box 44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34550" cy="9591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438150</xdr:colOff>
      <xdr:row>48</xdr:row>
      <xdr:rowOff>28575</xdr:rowOff>
    </xdr:to>
    <xdr:sp macro="" textlink="">
      <xdr:nvSpPr>
        <xdr:cNvPr id="1066" name="Text Box 4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34550" cy="9591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438150</xdr:colOff>
      <xdr:row>48</xdr:row>
      <xdr:rowOff>28575</xdr:rowOff>
    </xdr:to>
    <xdr:sp macro="" textlink="">
      <xdr:nvSpPr>
        <xdr:cNvPr id="1064" name="Text Box 40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34550" cy="9591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438150</xdr:colOff>
      <xdr:row>48</xdr:row>
      <xdr:rowOff>28575</xdr:rowOff>
    </xdr:to>
    <xdr:sp macro="" textlink="">
      <xdr:nvSpPr>
        <xdr:cNvPr id="1062" name="Text Box 38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34550" cy="9591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438150</xdr:colOff>
      <xdr:row>48</xdr:row>
      <xdr:rowOff>28575</xdr:rowOff>
    </xdr:to>
    <xdr:sp macro="" textlink="">
      <xdr:nvSpPr>
        <xdr:cNvPr id="1060" name="Text Box 36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34550" cy="9591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438150</xdr:colOff>
      <xdr:row>48</xdr:row>
      <xdr:rowOff>28575</xdr:rowOff>
    </xdr:to>
    <xdr:sp macro="" textlink="">
      <xdr:nvSpPr>
        <xdr:cNvPr id="1058" name="Text Box 34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34550" cy="9591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438150</xdr:colOff>
      <xdr:row>48</xdr:row>
      <xdr:rowOff>28575</xdr:rowOff>
    </xdr:to>
    <xdr:sp macro="" textlink="">
      <xdr:nvSpPr>
        <xdr:cNvPr id="1056" name="Text Box 3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34550" cy="9591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438150</xdr:colOff>
      <xdr:row>48</xdr:row>
      <xdr:rowOff>28575</xdr:rowOff>
    </xdr:to>
    <xdr:sp macro="" textlink="">
      <xdr:nvSpPr>
        <xdr:cNvPr id="1054" name="Text Box 30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34550" cy="9591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438150</xdr:colOff>
      <xdr:row>48</xdr:row>
      <xdr:rowOff>28575</xdr:rowOff>
    </xdr:to>
    <xdr:sp macro="" textlink="">
      <xdr:nvSpPr>
        <xdr:cNvPr id="1052" name="Text Box 28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34550" cy="9591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438150</xdr:colOff>
      <xdr:row>48</xdr:row>
      <xdr:rowOff>28575</xdr:rowOff>
    </xdr:to>
    <xdr:sp macro="" textlink="">
      <xdr:nvSpPr>
        <xdr:cNvPr id="1050" name="Text Box 26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34550" cy="9591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438150</xdr:colOff>
      <xdr:row>48</xdr:row>
      <xdr:rowOff>28575</xdr:rowOff>
    </xdr:to>
    <xdr:sp macro="" textlink="">
      <xdr:nvSpPr>
        <xdr:cNvPr id="1048" name="Text Box 24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34550" cy="9591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438150</xdr:colOff>
      <xdr:row>48</xdr:row>
      <xdr:rowOff>28575</xdr:rowOff>
    </xdr:to>
    <xdr:sp macro="" textlink="">
      <xdr:nvSpPr>
        <xdr:cNvPr id="1046" name="Text Box 2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34550" cy="9591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438150</xdr:colOff>
      <xdr:row>48</xdr:row>
      <xdr:rowOff>28575</xdr:rowOff>
    </xdr:to>
    <xdr:sp macro="" textlink="">
      <xdr:nvSpPr>
        <xdr:cNvPr id="1044" name="Text Box 20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34550" cy="9591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438150</xdr:colOff>
      <xdr:row>48</xdr:row>
      <xdr:rowOff>28575</xdr:rowOff>
    </xdr:to>
    <xdr:sp macro="" textlink="">
      <xdr:nvSpPr>
        <xdr:cNvPr id="1042" name="Text Box 18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34550" cy="9591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438150</xdr:colOff>
      <xdr:row>48</xdr:row>
      <xdr:rowOff>28575</xdr:rowOff>
    </xdr:to>
    <xdr:sp macro="" textlink="">
      <xdr:nvSpPr>
        <xdr:cNvPr id="1040" name="Text Box 16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34550" cy="9591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438150</xdr:colOff>
      <xdr:row>48</xdr:row>
      <xdr:rowOff>28575</xdr:rowOff>
    </xdr:to>
    <xdr:sp macro="" textlink="">
      <xdr:nvSpPr>
        <xdr:cNvPr id="1038" name="Text Box 14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34550" cy="9591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438150</xdr:colOff>
      <xdr:row>48</xdr:row>
      <xdr:rowOff>28575</xdr:rowOff>
    </xdr:to>
    <xdr:sp macro="" textlink="">
      <xdr:nvSpPr>
        <xdr:cNvPr id="1036" name="Text Box 1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34550" cy="9591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438150</xdr:colOff>
      <xdr:row>48</xdr:row>
      <xdr:rowOff>28575</xdr:rowOff>
    </xdr:to>
    <xdr:sp macro="" textlink="">
      <xdr:nvSpPr>
        <xdr:cNvPr id="1034" name="Text Box 10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34550" cy="9591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438150</xdr:colOff>
      <xdr:row>48</xdr:row>
      <xdr:rowOff>28575</xdr:rowOff>
    </xdr:to>
    <xdr:sp macro="" textlink="">
      <xdr:nvSpPr>
        <xdr:cNvPr id="1032" name="Text Box 8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34550" cy="9591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438150</xdr:colOff>
      <xdr:row>48</xdr:row>
      <xdr:rowOff>28575</xdr:rowOff>
    </xdr:to>
    <xdr:sp macro="" textlink="">
      <xdr:nvSpPr>
        <xdr:cNvPr id="1030" name="Text Box 6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34550" cy="9591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438150</xdr:colOff>
      <xdr:row>48</xdr:row>
      <xdr:rowOff>28575</xdr:rowOff>
    </xdr:to>
    <xdr:sp macro="" textlink="">
      <xdr:nvSpPr>
        <xdr:cNvPr id="1028" name="Text Box 4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34550" cy="9591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438150</xdr:colOff>
      <xdr:row>48</xdr:row>
      <xdr:rowOff>28575</xdr:rowOff>
    </xdr:to>
    <xdr:sp macro="" textlink="">
      <xdr:nvSpPr>
        <xdr:cNvPr id="1026" name="Text Box 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734550" cy="9591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299357</xdr:colOff>
      <xdr:row>16</xdr:row>
      <xdr:rowOff>159204</xdr:rowOff>
    </xdr:from>
    <xdr:to>
      <xdr:col>4</xdr:col>
      <xdr:colOff>163286</xdr:colOff>
      <xdr:row>31</xdr:row>
      <xdr:rowOff>44904</xdr:rowOff>
    </xdr:to>
    <xdr:graphicFrame macro="">
      <xdr:nvGraphicFramePr>
        <xdr:cNvPr id="23" name="Γράφημα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231321</xdr:colOff>
      <xdr:row>15</xdr:row>
      <xdr:rowOff>172810</xdr:rowOff>
    </xdr:from>
    <xdr:to>
      <xdr:col>11</xdr:col>
      <xdr:colOff>285750</xdr:colOff>
      <xdr:row>30</xdr:row>
      <xdr:rowOff>58510</xdr:rowOff>
    </xdr:to>
    <xdr:graphicFrame macro="">
      <xdr:nvGraphicFramePr>
        <xdr:cNvPr id="24" name="Γράφημα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530677</xdr:colOff>
      <xdr:row>16</xdr:row>
      <xdr:rowOff>36738</xdr:rowOff>
    </xdr:from>
    <xdr:to>
      <xdr:col>18</xdr:col>
      <xdr:colOff>653142</xdr:colOff>
      <xdr:row>30</xdr:row>
      <xdr:rowOff>112938</xdr:rowOff>
    </xdr:to>
    <xdr:graphicFrame macro="">
      <xdr:nvGraphicFramePr>
        <xdr:cNvPr id="25" name="Γράφημα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340178</xdr:colOff>
      <xdr:row>33</xdr:row>
      <xdr:rowOff>145595</xdr:rowOff>
    </xdr:from>
    <xdr:to>
      <xdr:col>4</xdr:col>
      <xdr:colOff>204107</xdr:colOff>
      <xdr:row>48</xdr:row>
      <xdr:rowOff>31295</xdr:rowOff>
    </xdr:to>
    <xdr:graphicFrame macro="">
      <xdr:nvGraphicFramePr>
        <xdr:cNvPr id="27" name="Γράφημα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136070</xdr:colOff>
      <xdr:row>33</xdr:row>
      <xdr:rowOff>159203</xdr:rowOff>
    </xdr:from>
    <xdr:to>
      <xdr:col>11</xdr:col>
      <xdr:colOff>190499</xdr:colOff>
      <xdr:row>48</xdr:row>
      <xdr:rowOff>44903</xdr:rowOff>
    </xdr:to>
    <xdr:graphicFrame macro="">
      <xdr:nvGraphicFramePr>
        <xdr:cNvPr id="28" name="Γράφημα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340180</xdr:colOff>
      <xdr:row>33</xdr:row>
      <xdr:rowOff>186417</xdr:rowOff>
    </xdr:from>
    <xdr:to>
      <xdr:col>18</xdr:col>
      <xdr:colOff>462645</xdr:colOff>
      <xdr:row>48</xdr:row>
      <xdr:rowOff>72117</xdr:rowOff>
    </xdr:to>
    <xdr:graphicFrame macro="">
      <xdr:nvGraphicFramePr>
        <xdr:cNvPr id="29" name="Γράφημα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884464</xdr:colOff>
      <xdr:row>16</xdr:row>
      <xdr:rowOff>131989</xdr:rowOff>
    </xdr:from>
    <xdr:to>
      <xdr:col>26</xdr:col>
      <xdr:colOff>204106</xdr:colOff>
      <xdr:row>31</xdr:row>
      <xdr:rowOff>17689</xdr:rowOff>
    </xdr:to>
    <xdr:graphicFrame macro="">
      <xdr:nvGraphicFramePr>
        <xdr:cNvPr id="30" name="Γράφημα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326573</xdr:colOff>
      <xdr:row>50</xdr:row>
      <xdr:rowOff>186417</xdr:rowOff>
    </xdr:from>
    <xdr:to>
      <xdr:col>18</xdr:col>
      <xdr:colOff>449038</xdr:colOff>
      <xdr:row>65</xdr:row>
      <xdr:rowOff>72117</xdr:rowOff>
    </xdr:to>
    <xdr:graphicFrame macro="">
      <xdr:nvGraphicFramePr>
        <xdr:cNvPr id="32" name="Γράφημα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843642</xdr:colOff>
      <xdr:row>34</xdr:row>
      <xdr:rowOff>50344</xdr:rowOff>
    </xdr:from>
    <xdr:to>
      <xdr:col>26</xdr:col>
      <xdr:colOff>163284</xdr:colOff>
      <xdr:row>48</xdr:row>
      <xdr:rowOff>126544</xdr:rowOff>
    </xdr:to>
    <xdr:graphicFrame macro="">
      <xdr:nvGraphicFramePr>
        <xdr:cNvPr id="33" name="Γράφημα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435426</xdr:colOff>
      <xdr:row>50</xdr:row>
      <xdr:rowOff>149678</xdr:rowOff>
    </xdr:from>
    <xdr:to>
      <xdr:col>4</xdr:col>
      <xdr:colOff>449034</xdr:colOff>
      <xdr:row>65</xdr:row>
      <xdr:rowOff>126545</xdr:rowOff>
    </xdr:to>
    <xdr:graphicFrame macro="">
      <xdr:nvGraphicFramePr>
        <xdr:cNvPr id="34" name="Γράφημα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81643</xdr:colOff>
      <xdr:row>50</xdr:row>
      <xdr:rowOff>149679</xdr:rowOff>
    </xdr:from>
    <xdr:to>
      <xdr:col>11</xdr:col>
      <xdr:colOff>285750</xdr:colOff>
      <xdr:row>65</xdr:row>
      <xdr:rowOff>72116</xdr:rowOff>
    </xdr:to>
    <xdr:graphicFrame macro="">
      <xdr:nvGraphicFramePr>
        <xdr:cNvPr id="35" name="Γράφημα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857249</xdr:colOff>
      <xdr:row>51</xdr:row>
      <xdr:rowOff>63951</xdr:rowOff>
    </xdr:from>
    <xdr:to>
      <xdr:col>26</xdr:col>
      <xdr:colOff>176891</xdr:colOff>
      <xdr:row>65</xdr:row>
      <xdr:rowOff>140151</xdr:rowOff>
    </xdr:to>
    <xdr:graphicFrame macro="">
      <xdr:nvGraphicFramePr>
        <xdr:cNvPr id="36" name="Γράφημα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449036</xdr:colOff>
      <xdr:row>68</xdr:row>
      <xdr:rowOff>118383</xdr:rowOff>
    </xdr:from>
    <xdr:to>
      <xdr:col>4</xdr:col>
      <xdr:colOff>312965</xdr:colOff>
      <xdr:row>83</xdr:row>
      <xdr:rowOff>4083</xdr:rowOff>
    </xdr:to>
    <xdr:graphicFrame macro="">
      <xdr:nvGraphicFramePr>
        <xdr:cNvPr id="37" name="Γράφημα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54429</xdr:colOff>
      <xdr:row>68</xdr:row>
      <xdr:rowOff>104773</xdr:rowOff>
    </xdr:from>
    <xdr:to>
      <xdr:col>11</xdr:col>
      <xdr:colOff>108858</xdr:colOff>
      <xdr:row>82</xdr:row>
      <xdr:rowOff>180973</xdr:rowOff>
    </xdr:to>
    <xdr:graphicFrame macro="">
      <xdr:nvGraphicFramePr>
        <xdr:cNvPr id="38" name="Γράφημα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462642</xdr:colOff>
      <xdr:row>69</xdr:row>
      <xdr:rowOff>9523</xdr:rowOff>
    </xdr:from>
    <xdr:to>
      <xdr:col>18</xdr:col>
      <xdr:colOff>585107</xdr:colOff>
      <xdr:row>83</xdr:row>
      <xdr:rowOff>85723</xdr:rowOff>
    </xdr:to>
    <xdr:graphicFrame macro="">
      <xdr:nvGraphicFramePr>
        <xdr:cNvPr id="39" name="Γράφημα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T262"/>
  <sheetViews>
    <sheetView tabSelected="1" topLeftCell="A203" zoomScale="70" zoomScaleNormal="70" workbookViewId="0">
      <selection activeCell="B220" sqref="B220:K220"/>
    </sheetView>
  </sheetViews>
  <sheetFormatPr defaultRowHeight="15" x14ac:dyDescent="0.25"/>
  <cols>
    <col min="1" max="1" width="85.85546875" customWidth="1"/>
    <col min="2" max="8" width="16.42578125" bestFit="1" customWidth="1"/>
    <col min="9" max="11" width="15.7109375" bestFit="1" customWidth="1"/>
    <col min="12" max="12" width="14.85546875" customWidth="1"/>
    <col min="13" max="13" width="15.140625" customWidth="1"/>
    <col min="14" max="14" width="13.85546875" customWidth="1"/>
    <col min="15" max="15" width="13.5703125" customWidth="1"/>
    <col min="16" max="16" width="14.85546875" customWidth="1"/>
    <col min="17" max="17" width="12.28515625" customWidth="1"/>
    <col min="18" max="18" width="13.140625" customWidth="1"/>
    <col min="19" max="19" width="13" customWidth="1"/>
    <col min="20" max="20" width="13.28515625" customWidth="1"/>
  </cols>
  <sheetData>
    <row r="1" spans="1:11" ht="15.75" x14ac:dyDescent="0.25">
      <c r="A1" s="6" t="s">
        <v>177</v>
      </c>
    </row>
    <row r="2" spans="1:11" ht="15.75" x14ac:dyDescent="0.25">
      <c r="A2" s="9" t="s">
        <v>0</v>
      </c>
      <c r="C2" s="6"/>
    </row>
    <row r="3" spans="1:11" ht="15.75" x14ac:dyDescent="0.25">
      <c r="A3" s="10" t="s">
        <v>1</v>
      </c>
      <c r="B3" s="11">
        <v>2005</v>
      </c>
      <c r="C3" s="11">
        <v>2006</v>
      </c>
      <c r="D3" s="11">
        <v>2007</v>
      </c>
      <c r="E3" s="11">
        <v>2008</v>
      </c>
      <c r="F3" s="11">
        <v>2009</v>
      </c>
      <c r="G3" s="11">
        <v>2010</v>
      </c>
      <c r="H3" s="11">
        <v>2011</v>
      </c>
      <c r="I3" s="11">
        <v>2012</v>
      </c>
      <c r="J3" s="11">
        <v>2013</v>
      </c>
    </row>
    <row r="4" spans="1:11" ht="15.75" x14ac:dyDescent="0.25">
      <c r="A4" s="6" t="s">
        <v>2</v>
      </c>
      <c r="B4" s="12">
        <v>871</v>
      </c>
      <c r="C4" s="12">
        <v>559</v>
      </c>
      <c r="D4" s="12">
        <v>1229</v>
      </c>
      <c r="E4" s="12">
        <v>916</v>
      </c>
      <c r="F4" s="12">
        <v>581</v>
      </c>
      <c r="G4" s="12">
        <v>302</v>
      </c>
      <c r="H4" s="12">
        <v>125</v>
      </c>
      <c r="I4" s="12">
        <v>265</v>
      </c>
      <c r="J4" s="12">
        <v>357</v>
      </c>
      <c r="K4" s="13"/>
    </row>
    <row r="5" spans="1:11" ht="15.75" x14ac:dyDescent="0.25">
      <c r="A5" s="6" t="s">
        <v>3</v>
      </c>
      <c r="B5" s="12">
        <v>698065</v>
      </c>
      <c r="C5" s="12">
        <v>691481</v>
      </c>
      <c r="D5" s="12">
        <v>687174</v>
      </c>
      <c r="E5" s="12">
        <v>713043</v>
      </c>
      <c r="F5" s="12">
        <v>853934</v>
      </c>
      <c r="G5" s="12">
        <v>884571</v>
      </c>
      <c r="H5" s="12">
        <v>856202</v>
      </c>
      <c r="I5" s="14">
        <v>831717</v>
      </c>
      <c r="J5" s="14">
        <v>808594</v>
      </c>
      <c r="K5" s="13"/>
    </row>
    <row r="6" spans="1:11" ht="15.75" x14ac:dyDescent="0.25">
      <c r="A6" s="6" t="s">
        <v>4</v>
      </c>
      <c r="B6" s="12">
        <v>927</v>
      </c>
      <c r="C6" s="12">
        <v>927</v>
      </c>
      <c r="D6" s="12">
        <v>927</v>
      </c>
      <c r="E6" s="12">
        <v>927</v>
      </c>
      <c r="F6" s="12">
        <v>927</v>
      </c>
      <c r="G6" s="12">
        <v>937</v>
      </c>
      <c r="H6" s="12">
        <v>937</v>
      </c>
      <c r="I6" s="12">
        <v>937</v>
      </c>
      <c r="J6" s="12">
        <v>937</v>
      </c>
      <c r="K6" s="13"/>
    </row>
    <row r="7" spans="1:11" ht="15.75" x14ac:dyDescent="0.25">
      <c r="A7" s="6" t="s">
        <v>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3"/>
    </row>
    <row r="8" spans="1:11" ht="15.75" x14ac:dyDescent="0.25">
      <c r="A8" s="6" t="s">
        <v>6</v>
      </c>
      <c r="B8" s="12">
        <v>39577</v>
      </c>
      <c r="C8" s="12">
        <f>38528+1280</f>
        <v>39808</v>
      </c>
      <c r="D8" s="12">
        <f>38678+2823</f>
        <v>41501</v>
      </c>
      <c r="E8" s="12">
        <f>42722+1539</f>
        <v>44261</v>
      </c>
      <c r="F8" s="12">
        <f>46213+946</f>
        <v>47159</v>
      </c>
      <c r="G8" s="12">
        <v>147453</v>
      </c>
      <c r="H8" s="12">
        <v>147777</v>
      </c>
      <c r="I8" s="12">
        <v>170099</v>
      </c>
      <c r="J8" s="14">
        <v>170872</v>
      </c>
      <c r="K8" s="13"/>
    </row>
    <row r="9" spans="1:11" ht="15.75" x14ac:dyDescent="0.25">
      <c r="A9" s="15" t="s">
        <v>7</v>
      </c>
      <c r="B9" s="9">
        <f t="shared" ref="B9:J9" si="0">B4+B5+B6+B7+B8</f>
        <v>739440</v>
      </c>
      <c r="C9" s="9">
        <f t="shared" si="0"/>
        <v>732775</v>
      </c>
      <c r="D9" s="9">
        <f t="shared" si="0"/>
        <v>730831</v>
      </c>
      <c r="E9" s="9">
        <f t="shared" si="0"/>
        <v>759147</v>
      </c>
      <c r="F9" s="9">
        <f t="shared" si="0"/>
        <v>902601</v>
      </c>
      <c r="G9" s="9">
        <f t="shared" si="0"/>
        <v>1033263</v>
      </c>
      <c r="H9" s="9">
        <f t="shared" si="0"/>
        <v>1005041</v>
      </c>
      <c r="I9" s="9">
        <f t="shared" si="0"/>
        <v>1003018</v>
      </c>
      <c r="J9" s="9">
        <f t="shared" si="0"/>
        <v>980760</v>
      </c>
      <c r="K9" s="16"/>
    </row>
    <row r="10" spans="1:11" ht="15.75" x14ac:dyDescent="0.25">
      <c r="K10" s="17"/>
    </row>
    <row r="11" spans="1:11" ht="15.75" x14ac:dyDescent="0.25">
      <c r="A11" s="6" t="s">
        <v>8</v>
      </c>
      <c r="B11" s="12">
        <v>308225</v>
      </c>
      <c r="C11" s="12">
        <v>182122</v>
      </c>
      <c r="D11" s="12">
        <v>339916</v>
      </c>
      <c r="E11" s="12">
        <v>233705</v>
      </c>
      <c r="F11" s="12">
        <v>248478</v>
      </c>
      <c r="G11" s="12">
        <v>535337</v>
      </c>
      <c r="H11" s="12">
        <v>599530</v>
      </c>
      <c r="I11" s="14">
        <v>609727</v>
      </c>
      <c r="J11" s="14">
        <v>482793</v>
      </c>
      <c r="K11" s="13"/>
    </row>
    <row r="12" spans="1:11" ht="15.75" x14ac:dyDescent="0.25">
      <c r="A12" s="6" t="s">
        <v>9</v>
      </c>
      <c r="B12" s="12">
        <v>248756</v>
      </c>
      <c r="C12" s="12">
        <v>252727</v>
      </c>
      <c r="D12" s="12">
        <v>315161</v>
      </c>
      <c r="E12" s="12">
        <v>205599</v>
      </c>
      <c r="F12" s="12">
        <v>246527</v>
      </c>
      <c r="G12" s="13">
        <v>291314</v>
      </c>
      <c r="H12" s="12">
        <v>324219</v>
      </c>
      <c r="I12" s="14">
        <v>295510</v>
      </c>
      <c r="J12" s="14">
        <v>289873</v>
      </c>
      <c r="K12" s="13"/>
    </row>
    <row r="13" spans="1:11" ht="15.75" x14ac:dyDescent="0.25">
      <c r="A13" s="6" t="s">
        <v>10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4">
        <v>5188</v>
      </c>
      <c r="J13" s="14">
        <v>16330</v>
      </c>
      <c r="K13" s="13"/>
    </row>
    <row r="14" spans="1:11" ht="15.75" x14ac:dyDescent="0.25">
      <c r="A14" s="6" t="s">
        <v>11</v>
      </c>
      <c r="B14" s="12">
        <v>6740</v>
      </c>
      <c r="C14" s="12">
        <v>6533</v>
      </c>
      <c r="D14" s="12">
        <v>10634</v>
      </c>
      <c r="E14" s="12">
        <v>7982</v>
      </c>
      <c r="F14" s="12">
        <v>15021</v>
      </c>
      <c r="G14" s="12">
        <v>25136</v>
      </c>
      <c r="H14" s="12">
        <v>103524</v>
      </c>
      <c r="I14" s="14">
        <v>164881</v>
      </c>
      <c r="J14" s="14">
        <v>86000</v>
      </c>
      <c r="K14" s="13"/>
    </row>
    <row r="15" spans="1:11" ht="15.75" x14ac:dyDescent="0.25">
      <c r="A15" s="15" t="s">
        <v>12</v>
      </c>
      <c r="B15" s="9">
        <f t="shared" ref="B15:J15" si="1">B11+B12+B13+B14</f>
        <v>563721</v>
      </c>
      <c r="C15" s="9">
        <f t="shared" si="1"/>
        <v>441382</v>
      </c>
      <c r="D15" s="9">
        <f t="shared" si="1"/>
        <v>665711</v>
      </c>
      <c r="E15" s="9">
        <f t="shared" si="1"/>
        <v>447286</v>
      </c>
      <c r="F15" s="9">
        <f t="shared" si="1"/>
        <v>510026</v>
      </c>
      <c r="G15" s="9">
        <f t="shared" si="1"/>
        <v>851787</v>
      </c>
      <c r="H15" s="9">
        <f t="shared" si="1"/>
        <v>1027273</v>
      </c>
      <c r="I15" s="9">
        <f t="shared" si="1"/>
        <v>1075306</v>
      </c>
      <c r="J15" s="9">
        <f t="shared" si="1"/>
        <v>874996</v>
      </c>
      <c r="K15" s="16"/>
    </row>
    <row r="16" spans="1:11" ht="15.75" x14ac:dyDescent="0.25">
      <c r="K16" s="17"/>
    </row>
    <row r="17" spans="1:15" ht="15.75" x14ac:dyDescent="0.25">
      <c r="A17" s="18" t="s">
        <v>13</v>
      </c>
      <c r="B17" s="9">
        <f t="shared" ref="B17:J17" si="2">B9+B15</f>
        <v>1303161</v>
      </c>
      <c r="C17" s="9">
        <f t="shared" si="2"/>
        <v>1174157</v>
      </c>
      <c r="D17" s="9">
        <f t="shared" si="2"/>
        <v>1396542</v>
      </c>
      <c r="E17" s="9">
        <f t="shared" si="2"/>
        <v>1206433</v>
      </c>
      <c r="F17" s="9">
        <f t="shared" si="2"/>
        <v>1412627</v>
      </c>
      <c r="G17" s="9">
        <f t="shared" si="2"/>
        <v>1885050</v>
      </c>
      <c r="H17" s="9">
        <f t="shared" si="2"/>
        <v>2032314</v>
      </c>
      <c r="I17" s="9">
        <f t="shared" si="2"/>
        <v>2078324</v>
      </c>
      <c r="J17" s="9">
        <f t="shared" si="2"/>
        <v>1855756</v>
      </c>
      <c r="K17" s="16"/>
    </row>
    <row r="18" spans="1:15" ht="15.75" x14ac:dyDescent="0.25">
      <c r="K18" s="17"/>
    </row>
    <row r="19" spans="1:15" ht="15.75" x14ac:dyDescent="0.25">
      <c r="A19" s="15" t="s">
        <v>14</v>
      </c>
      <c r="K19" s="17"/>
    </row>
    <row r="20" spans="1:15" ht="15.75" x14ac:dyDescent="0.25">
      <c r="A20" s="6" t="s">
        <v>15</v>
      </c>
      <c r="B20" s="12">
        <v>573407</v>
      </c>
      <c r="C20" s="12">
        <v>471561</v>
      </c>
      <c r="D20" s="12">
        <v>708648</v>
      </c>
      <c r="E20" s="12">
        <v>594734</v>
      </c>
      <c r="F20" s="12">
        <v>819790</v>
      </c>
      <c r="G20" s="12">
        <v>1340442</v>
      </c>
      <c r="H20" s="12">
        <v>1203864</v>
      </c>
      <c r="I20" s="14">
        <v>1018651</v>
      </c>
      <c r="J20" s="14">
        <v>871628</v>
      </c>
      <c r="K20" s="13"/>
    </row>
    <row r="21" spans="1:15" ht="15.75" x14ac:dyDescent="0.25">
      <c r="A21" s="15" t="s">
        <v>16</v>
      </c>
      <c r="B21" s="9">
        <f t="shared" ref="B21:J21" si="3">B20</f>
        <v>573407</v>
      </c>
      <c r="C21" s="9">
        <f t="shared" si="3"/>
        <v>471561</v>
      </c>
      <c r="D21" s="9">
        <f t="shared" si="3"/>
        <v>708648</v>
      </c>
      <c r="E21" s="9">
        <f t="shared" si="3"/>
        <v>594734</v>
      </c>
      <c r="F21" s="9">
        <f t="shared" si="3"/>
        <v>819790</v>
      </c>
      <c r="G21" s="9">
        <f t="shared" si="3"/>
        <v>1340442</v>
      </c>
      <c r="H21" s="9">
        <f t="shared" si="3"/>
        <v>1203864</v>
      </c>
      <c r="I21" s="9">
        <f t="shared" si="3"/>
        <v>1018651</v>
      </c>
      <c r="J21" s="9">
        <f t="shared" si="3"/>
        <v>871628</v>
      </c>
      <c r="K21" s="16"/>
    </row>
    <row r="22" spans="1:15" ht="15.75" x14ac:dyDescent="0.25">
      <c r="K22" s="17"/>
    </row>
    <row r="23" spans="1:15" ht="15.75" x14ac:dyDescent="0.25">
      <c r="A23" s="57" t="s">
        <v>191</v>
      </c>
      <c r="B23" s="12">
        <v>329880</v>
      </c>
      <c r="C23" s="12">
        <v>287048</v>
      </c>
      <c r="D23" s="12">
        <v>246120</v>
      </c>
      <c r="E23" s="12">
        <v>227031</v>
      </c>
      <c r="F23" s="12">
        <v>192375</v>
      </c>
      <c r="G23" s="12">
        <v>114037</v>
      </c>
      <c r="H23" s="12">
        <v>310659</v>
      </c>
      <c r="I23" s="14">
        <v>506013</v>
      </c>
      <c r="J23" s="14">
        <v>449524</v>
      </c>
      <c r="K23" s="13"/>
    </row>
    <row r="24" spans="1:15" ht="15.75" x14ac:dyDescent="0.25">
      <c r="A24" s="6" t="s">
        <v>17</v>
      </c>
      <c r="B24" s="12">
        <v>61237</v>
      </c>
      <c r="C24" s="12">
        <v>71298</v>
      </c>
      <c r="D24" s="12">
        <v>70241</v>
      </c>
      <c r="E24" s="12">
        <v>70308</v>
      </c>
      <c r="F24" s="12">
        <v>67670</v>
      </c>
      <c r="G24" s="12">
        <v>71322</v>
      </c>
      <c r="H24" s="12">
        <v>73005</v>
      </c>
      <c r="I24" s="14">
        <v>73554</v>
      </c>
      <c r="J24" s="14">
        <v>93604</v>
      </c>
      <c r="K24" s="13"/>
    </row>
    <row r="25" spans="1:15" ht="15.75" x14ac:dyDescent="0.25">
      <c r="A25" s="15" t="s">
        <v>18</v>
      </c>
      <c r="B25" s="9">
        <f t="shared" ref="B25:J25" si="4">B23+B24</f>
        <v>391117</v>
      </c>
      <c r="C25" s="9">
        <f t="shared" si="4"/>
        <v>358346</v>
      </c>
      <c r="D25" s="9">
        <f t="shared" si="4"/>
        <v>316361</v>
      </c>
      <c r="E25" s="9">
        <f t="shared" si="4"/>
        <v>297339</v>
      </c>
      <c r="F25" s="9">
        <f t="shared" si="4"/>
        <v>260045</v>
      </c>
      <c r="G25" s="9">
        <f t="shared" si="4"/>
        <v>185359</v>
      </c>
      <c r="H25" s="9">
        <f t="shared" si="4"/>
        <v>383664</v>
      </c>
      <c r="I25" s="9">
        <f t="shared" si="4"/>
        <v>579567</v>
      </c>
      <c r="J25" s="9">
        <f t="shared" si="4"/>
        <v>543128</v>
      </c>
      <c r="K25" s="9"/>
      <c r="L25" s="9"/>
      <c r="M25" s="9"/>
      <c r="N25" s="9"/>
      <c r="O25" s="9"/>
    </row>
    <row r="26" spans="1:15" ht="15.75" x14ac:dyDescent="0.25">
      <c r="K26" s="17"/>
    </row>
    <row r="27" spans="1:15" ht="15.75" x14ac:dyDescent="0.25">
      <c r="A27" s="18" t="s">
        <v>19</v>
      </c>
      <c r="B27" s="9">
        <f t="shared" ref="B27:J27" si="5">B21+B25</f>
        <v>964524</v>
      </c>
      <c r="C27" s="9">
        <f t="shared" si="5"/>
        <v>829907</v>
      </c>
      <c r="D27" s="9">
        <f t="shared" si="5"/>
        <v>1025009</v>
      </c>
      <c r="E27" s="9">
        <f t="shared" si="5"/>
        <v>892073</v>
      </c>
      <c r="F27" s="9">
        <f>F21+F25</f>
        <v>1079835</v>
      </c>
      <c r="G27" s="9">
        <f t="shared" si="5"/>
        <v>1525801</v>
      </c>
      <c r="H27" s="9">
        <f t="shared" si="5"/>
        <v>1587528</v>
      </c>
      <c r="I27" s="9">
        <f t="shared" si="5"/>
        <v>1598218</v>
      </c>
      <c r="J27" s="9">
        <f t="shared" si="5"/>
        <v>1414756</v>
      </c>
      <c r="K27" s="16"/>
    </row>
    <row r="28" spans="1:15" ht="15.75" x14ac:dyDescent="0.25">
      <c r="K28" s="17"/>
    </row>
    <row r="29" spans="1:15" ht="15.75" x14ac:dyDescent="0.25">
      <c r="A29" s="15" t="s">
        <v>20</v>
      </c>
      <c r="K29" s="17"/>
    </row>
    <row r="30" spans="1:15" ht="15.75" x14ac:dyDescent="0.25">
      <c r="A30" s="6" t="s">
        <v>21</v>
      </c>
      <c r="B30" s="12">
        <v>33235</v>
      </c>
      <c r="C30" s="12">
        <v>33235</v>
      </c>
      <c r="D30" s="12">
        <v>33235</v>
      </c>
      <c r="E30" s="12">
        <v>33235</v>
      </c>
      <c r="F30" s="12">
        <v>33235</v>
      </c>
      <c r="G30" s="12">
        <v>132940</v>
      </c>
      <c r="H30" s="12">
        <v>105244</v>
      </c>
      <c r="I30" s="14">
        <v>94166</v>
      </c>
      <c r="J30" s="14">
        <v>83088</v>
      </c>
      <c r="K30" s="13"/>
    </row>
    <row r="31" spans="1:15" ht="15.75" x14ac:dyDescent="0.25">
      <c r="A31" s="6" t="s">
        <v>22</v>
      </c>
      <c r="B31" s="12">
        <v>75374</v>
      </c>
      <c r="C31" s="12">
        <v>77136</v>
      </c>
      <c r="D31" s="12">
        <v>75166</v>
      </c>
      <c r="E31" s="12">
        <v>75166</v>
      </c>
      <c r="F31" s="12">
        <v>124694</v>
      </c>
      <c r="G31" s="12">
        <v>32994</v>
      </c>
      <c r="H31" s="12">
        <v>44573</v>
      </c>
      <c r="I31" s="14">
        <v>49982</v>
      </c>
      <c r="J31" s="14">
        <v>47964</v>
      </c>
      <c r="K31" s="13"/>
    </row>
    <row r="32" spans="1:15" ht="15.75" x14ac:dyDescent="0.25">
      <c r="A32" s="6" t="s">
        <v>23</v>
      </c>
      <c r="B32" s="12">
        <f>180500+49528</f>
        <v>230028</v>
      </c>
      <c r="C32" s="12">
        <f>184351+49528</f>
        <v>233879</v>
      </c>
      <c r="D32" s="12">
        <f>213604+49528</f>
        <v>263132</v>
      </c>
      <c r="E32" s="12">
        <f>49528+156431</f>
        <v>205959</v>
      </c>
      <c r="F32" s="12">
        <v>174863</v>
      </c>
      <c r="G32" s="12">
        <v>193315</v>
      </c>
      <c r="H32" s="12">
        <v>294969</v>
      </c>
      <c r="I32" s="14">
        <v>335958</v>
      </c>
      <c r="J32" s="14">
        <v>309948</v>
      </c>
      <c r="K32" s="13"/>
    </row>
    <row r="33" spans="1:11" ht="15.75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3"/>
    </row>
    <row r="34" spans="1:11" ht="15.75" x14ac:dyDescent="0.25">
      <c r="A34" s="18" t="s">
        <v>24</v>
      </c>
      <c r="B34" s="9">
        <f t="shared" ref="B34:J34" si="6">B30+B31+B32</f>
        <v>338637</v>
      </c>
      <c r="C34" s="9">
        <f t="shared" si="6"/>
        <v>344250</v>
      </c>
      <c r="D34" s="9">
        <f t="shared" si="6"/>
        <v>371533</v>
      </c>
      <c r="E34" s="9">
        <f t="shared" si="6"/>
        <v>314360</v>
      </c>
      <c r="F34" s="9">
        <f t="shared" si="6"/>
        <v>332792</v>
      </c>
      <c r="G34" s="9">
        <f t="shared" si="6"/>
        <v>359249</v>
      </c>
      <c r="H34" s="9">
        <f t="shared" si="6"/>
        <v>444786</v>
      </c>
      <c r="I34" s="9">
        <f t="shared" si="6"/>
        <v>480106</v>
      </c>
      <c r="J34" s="9">
        <f t="shared" si="6"/>
        <v>441000</v>
      </c>
      <c r="K34" s="16"/>
    </row>
    <row r="35" spans="1:11" ht="15.75" x14ac:dyDescent="0.25">
      <c r="K35" s="17"/>
    </row>
    <row r="36" spans="1:11" ht="15.75" x14ac:dyDescent="0.25">
      <c r="A36" s="15" t="s">
        <v>25</v>
      </c>
      <c r="B36" s="9">
        <f t="shared" ref="B36:J36" si="7">B27+B34</f>
        <v>1303161</v>
      </c>
      <c r="C36" s="9">
        <f t="shared" si="7"/>
        <v>1174157</v>
      </c>
      <c r="D36" s="9">
        <f t="shared" si="7"/>
        <v>1396542</v>
      </c>
      <c r="E36" s="9">
        <f t="shared" si="7"/>
        <v>1206433</v>
      </c>
      <c r="F36" s="9">
        <f t="shared" si="7"/>
        <v>1412627</v>
      </c>
      <c r="G36" s="9">
        <f t="shared" si="7"/>
        <v>1885050</v>
      </c>
      <c r="H36" s="9">
        <f t="shared" si="7"/>
        <v>2032314</v>
      </c>
      <c r="I36" s="9">
        <f t="shared" si="7"/>
        <v>2078324</v>
      </c>
      <c r="J36" s="9">
        <f t="shared" si="7"/>
        <v>1855756</v>
      </c>
      <c r="K36" s="16"/>
    </row>
    <row r="37" spans="1:11" ht="15.75" x14ac:dyDescent="0.25">
      <c r="A37" s="6" t="s">
        <v>26</v>
      </c>
      <c r="B37" s="12">
        <f t="shared" ref="B37:J37" si="8">B17-B36</f>
        <v>0</v>
      </c>
      <c r="C37" s="12">
        <f t="shared" si="8"/>
        <v>0</v>
      </c>
      <c r="D37" s="12">
        <f t="shared" si="8"/>
        <v>0</v>
      </c>
      <c r="E37" s="12">
        <f t="shared" si="8"/>
        <v>0</v>
      </c>
      <c r="F37" s="12">
        <f t="shared" si="8"/>
        <v>0</v>
      </c>
      <c r="G37" s="12">
        <f t="shared" si="8"/>
        <v>0</v>
      </c>
      <c r="H37" s="12">
        <f t="shared" si="8"/>
        <v>0</v>
      </c>
      <c r="I37" s="12">
        <f t="shared" si="8"/>
        <v>0</v>
      </c>
      <c r="J37" s="12">
        <f t="shared" si="8"/>
        <v>0</v>
      </c>
      <c r="K37" s="13"/>
    </row>
    <row r="40" spans="1:11" ht="15.75" x14ac:dyDescent="0.25">
      <c r="A40" s="9" t="s">
        <v>27</v>
      </c>
      <c r="B40" s="11">
        <v>2005</v>
      </c>
      <c r="C40" s="11">
        <v>2006</v>
      </c>
      <c r="D40" s="11">
        <v>2007</v>
      </c>
      <c r="E40" s="11">
        <v>2008</v>
      </c>
      <c r="F40" s="11">
        <v>2009</v>
      </c>
      <c r="G40" s="11">
        <v>2010</v>
      </c>
      <c r="H40" s="11">
        <v>2011</v>
      </c>
      <c r="I40" s="11">
        <v>2012</v>
      </c>
      <c r="J40" s="11">
        <v>2013</v>
      </c>
    </row>
    <row r="42" spans="1:11" ht="15.75" x14ac:dyDescent="0.25">
      <c r="A42" s="6" t="s">
        <v>28</v>
      </c>
      <c r="B42" s="12">
        <v>2923769</v>
      </c>
      <c r="C42" s="12">
        <v>3629694</v>
      </c>
      <c r="D42" s="12">
        <v>3719133</v>
      </c>
      <c r="E42" s="12">
        <v>5057751</v>
      </c>
      <c r="F42" s="12">
        <v>3493334</v>
      </c>
      <c r="G42" s="12">
        <v>4879266</v>
      </c>
      <c r="H42" s="12">
        <v>7146118</v>
      </c>
      <c r="I42" s="14">
        <v>8240260</v>
      </c>
      <c r="J42" s="14">
        <v>7843683</v>
      </c>
    </row>
    <row r="43" spans="1:11" ht="15.75" x14ac:dyDescent="0.25">
      <c r="A43" s="6" t="s">
        <v>29</v>
      </c>
      <c r="B43" s="12">
        <v>-2682623</v>
      </c>
      <c r="C43" s="12">
        <v>-3427013</v>
      </c>
      <c r="D43" s="12">
        <v>-3494213</v>
      </c>
      <c r="E43" s="12">
        <v>-4868468</v>
      </c>
      <c r="F43" s="12">
        <v>-3334820</v>
      </c>
      <c r="G43" s="12">
        <v>-4682189</v>
      </c>
      <c r="H43" s="12">
        <v>-6892535</v>
      </c>
      <c r="I43" s="14">
        <v>-8041375</v>
      </c>
      <c r="J43" s="14">
        <v>-7761581</v>
      </c>
    </row>
    <row r="44" spans="1:11" ht="15.75" x14ac:dyDescent="0.25">
      <c r="A44" s="18" t="s">
        <v>30</v>
      </c>
      <c r="B44" s="19">
        <f t="shared" ref="B44:J44" si="9">B42+B43</f>
        <v>241146</v>
      </c>
      <c r="C44" s="19">
        <f t="shared" si="9"/>
        <v>202681</v>
      </c>
      <c r="D44" s="19">
        <f t="shared" si="9"/>
        <v>224920</v>
      </c>
      <c r="E44" s="19">
        <f t="shared" si="9"/>
        <v>189283</v>
      </c>
      <c r="F44" s="19">
        <f t="shared" si="9"/>
        <v>158514</v>
      </c>
      <c r="G44" s="19">
        <f t="shared" si="9"/>
        <v>197077</v>
      </c>
      <c r="H44" s="19">
        <f t="shared" si="9"/>
        <v>253583</v>
      </c>
      <c r="I44" s="19">
        <f t="shared" si="9"/>
        <v>198885</v>
      </c>
      <c r="J44" s="19">
        <f t="shared" si="9"/>
        <v>82102</v>
      </c>
    </row>
    <row r="46" spans="1:11" ht="15.75" x14ac:dyDescent="0.25">
      <c r="A46" s="6" t="s">
        <v>31</v>
      </c>
      <c r="B46" s="12">
        <f>-(12801+14805+17322)</f>
        <v>-44928</v>
      </c>
      <c r="C46" s="12">
        <f>-(12748+19727-45126)</f>
        <v>12651</v>
      </c>
      <c r="D46" s="12">
        <f>-(15074+21862-52413)</f>
        <v>15477</v>
      </c>
      <c r="E46" s="12">
        <f>-(16583+21943+21089)</f>
        <v>-59615</v>
      </c>
      <c r="F46" s="12">
        <f>-(19898+27070-34934)</f>
        <v>-12034</v>
      </c>
      <c r="G46" s="12">
        <v>-42761</v>
      </c>
      <c r="H46" s="12">
        <v>-25815</v>
      </c>
      <c r="I46" s="14">
        <v>-21971</v>
      </c>
      <c r="J46" s="14">
        <v>-3245</v>
      </c>
    </row>
    <row r="47" spans="1:11" ht="15.75" x14ac:dyDescent="0.25">
      <c r="A47" s="6" t="s">
        <v>32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</row>
    <row r="48" spans="1:11" ht="15.75" x14ac:dyDescent="0.25">
      <c r="A48" s="18" t="s">
        <v>33</v>
      </c>
      <c r="B48" s="19">
        <f t="shared" ref="B48:J48" si="10">B44+B46+B47</f>
        <v>196218</v>
      </c>
      <c r="C48" s="19">
        <f t="shared" si="10"/>
        <v>215332</v>
      </c>
      <c r="D48" s="19">
        <f t="shared" si="10"/>
        <v>240397</v>
      </c>
      <c r="E48" s="19">
        <f t="shared" si="10"/>
        <v>129668</v>
      </c>
      <c r="F48" s="19">
        <f t="shared" si="10"/>
        <v>146480</v>
      </c>
      <c r="G48" s="19">
        <f t="shared" si="10"/>
        <v>154316</v>
      </c>
      <c r="H48" s="19">
        <f t="shared" si="10"/>
        <v>227768</v>
      </c>
      <c r="I48" s="19">
        <f t="shared" si="10"/>
        <v>176914</v>
      </c>
      <c r="J48" s="19">
        <f t="shared" si="10"/>
        <v>78857</v>
      </c>
    </row>
    <row r="50" spans="1:10" ht="15.75" x14ac:dyDescent="0.25">
      <c r="A50" s="6" t="s">
        <v>34</v>
      </c>
      <c r="B50" s="12">
        <f>-(12461-4773)</f>
        <v>-7688</v>
      </c>
      <c r="C50" s="12">
        <f>-(32307-6574)</f>
        <v>-25733</v>
      </c>
      <c r="D50" s="12">
        <f>-(37038-5053)</f>
        <v>-31985</v>
      </c>
      <c r="E50" s="12">
        <f>-(32878-2566)</f>
        <v>-30312</v>
      </c>
      <c r="F50" s="12">
        <f>-(16645-571)</f>
        <v>-16074</v>
      </c>
      <c r="G50" s="12">
        <v>-27695</v>
      </c>
      <c r="H50" s="12">
        <v>-50692</v>
      </c>
      <c r="I50" s="14">
        <v>-62548</v>
      </c>
      <c r="J50" s="14">
        <v>-55684</v>
      </c>
    </row>
    <row r="51" spans="1:10" ht="15.75" x14ac:dyDescent="0.25">
      <c r="A51" s="6" t="s">
        <v>35</v>
      </c>
      <c r="B51" s="12">
        <f t="shared" ref="B51:E51" si="11">B48+B50</f>
        <v>188530</v>
      </c>
      <c r="C51" s="12">
        <f t="shared" si="11"/>
        <v>189599</v>
      </c>
      <c r="D51" s="12">
        <f t="shared" si="11"/>
        <v>208412</v>
      </c>
      <c r="E51" s="12">
        <f t="shared" si="11"/>
        <v>99356</v>
      </c>
      <c r="F51" s="12">
        <f>F48+F50</f>
        <v>130406</v>
      </c>
      <c r="G51" s="12">
        <f>G48+G50</f>
        <v>126621</v>
      </c>
      <c r="H51" s="12">
        <f>H48+H50</f>
        <v>177076</v>
      </c>
      <c r="I51" s="12">
        <f>I48+I50</f>
        <v>114366</v>
      </c>
      <c r="J51" s="12">
        <f>J48+J50</f>
        <v>23173</v>
      </c>
    </row>
    <row r="52" spans="1:10" ht="15.75" x14ac:dyDescent="0.25">
      <c r="A52" s="6" t="s">
        <v>36</v>
      </c>
      <c r="B52" s="12">
        <v>-57843</v>
      </c>
      <c r="C52" s="12">
        <v>-62125</v>
      </c>
      <c r="D52" s="12">
        <v>-53729</v>
      </c>
      <c r="E52" s="12">
        <v>-23589</v>
      </c>
      <c r="F52" s="12">
        <v>-45504</v>
      </c>
      <c r="G52" s="12">
        <v>-44339</v>
      </c>
      <c r="H52" s="12">
        <v>-36146</v>
      </c>
      <c r="I52" s="14">
        <v>-23414</v>
      </c>
      <c r="J52" s="14">
        <v>-17598</v>
      </c>
    </row>
    <row r="53" spans="1:10" ht="15.75" x14ac:dyDescent="0.25">
      <c r="A53" s="18" t="s">
        <v>37</v>
      </c>
      <c r="B53" s="19">
        <f t="shared" ref="B53:J53" si="12">B51+B52</f>
        <v>130687</v>
      </c>
      <c r="C53" s="19">
        <f t="shared" si="12"/>
        <v>127474</v>
      </c>
      <c r="D53" s="19">
        <f t="shared" si="12"/>
        <v>154683</v>
      </c>
      <c r="E53" s="19">
        <f t="shared" si="12"/>
        <v>75767</v>
      </c>
      <c r="F53" s="19">
        <f t="shared" si="12"/>
        <v>84902</v>
      </c>
      <c r="G53" s="19">
        <f t="shared" si="12"/>
        <v>82282</v>
      </c>
      <c r="H53" s="19">
        <f t="shared" si="12"/>
        <v>140930</v>
      </c>
      <c r="I53" s="19">
        <f t="shared" si="12"/>
        <v>90952</v>
      </c>
      <c r="J53" s="19">
        <f t="shared" si="12"/>
        <v>5575</v>
      </c>
    </row>
    <row r="56" spans="1:10" ht="15.75" x14ac:dyDescent="0.25">
      <c r="A56" s="9" t="s">
        <v>38</v>
      </c>
    </row>
    <row r="57" spans="1:10" ht="15.75" x14ac:dyDescent="0.25">
      <c r="B57" s="11">
        <v>2005</v>
      </c>
      <c r="C57" s="11">
        <v>2006</v>
      </c>
      <c r="D57" s="11">
        <v>2007</v>
      </c>
      <c r="E57" s="11">
        <v>2008</v>
      </c>
      <c r="F57" s="11">
        <v>2009</v>
      </c>
      <c r="G57" s="11">
        <v>2010</v>
      </c>
      <c r="H57" s="11">
        <v>2011</v>
      </c>
      <c r="I57" s="11">
        <v>2012</v>
      </c>
      <c r="J57" s="11">
        <v>2013</v>
      </c>
    </row>
    <row r="58" spans="1:10" ht="15.75" x14ac:dyDescent="0.25">
      <c r="A58" s="15" t="s">
        <v>39</v>
      </c>
    </row>
    <row r="59" spans="1:10" ht="15.75" x14ac:dyDescent="0.25">
      <c r="A59" s="6" t="s">
        <v>37</v>
      </c>
      <c r="B59" s="12">
        <f t="shared" ref="B59:E59" si="13">B53</f>
        <v>130687</v>
      </c>
      <c r="C59" s="12">
        <f t="shared" si="13"/>
        <v>127474</v>
      </c>
      <c r="D59" s="12">
        <f t="shared" si="13"/>
        <v>154683</v>
      </c>
      <c r="E59" s="12">
        <f t="shared" si="13"/>
        <v>75767</v>
      </c>
      <c r="F59" s="12">
        <f>F53</f>
        <v>84902</v>
      </c>
      <c r="G59" s="12">
        <f>G53</f>
        <v>82282</v>
      </c>
      <c r="H59" s="12">
        <f>H53</f>
        <v>140930</v>
      </c>
      <c r="I59" s="12">
        <f>I53</f>
        <v>90952</v>
      </c>
      <c r="J59" s="12">
        <f>J53</f>
        <v>5575</v>
      </c>
    </row>
    <row r="60" spans="1:10" ht="15.75" x14ac:dyDescent="0.25">
      <c r="A60" s="6" t="s">
        <v>40</v>
      </c>
      <c r="B60" s="12">
        <f t="shared" ref="B60:J60" si="14">B50</f>
        <v>-7688</v>
      </c>
      <c r="C60" s="12">
        <f t="shared" si="14"/>
        <v>-25733</v>
      </c>
      <c r="D60" s="12">
        <f t="shared" si="14"/>
        <v>-31985</v>
      </c>
      <c r="E60" s="12">
        <f t="shared" si="14"/>
        <v>-30312</v>
      </c>
      <c r="F60" s="12">
        <f t="shared" si="14"/>
        <v>-16074</v>
      </c>
      <c r="G60" s="12">
        <f t="shared" si="14"/>
        <v>-27695</v>
      </c>
      <c r="H60" s="12">
        <f t="shared" si="14"/>
        <v>-50692</v>
      </c>
      <c r="I60" s="12">
        <f t="shared" si="14"/>
        <v>-62548</v>
      </c>
      <c r="J60" s="12">
        <f t="shared" si="14"/>
        <v>-55684</v>
      </c>
    </row>
    <row r="61" spans="1:10" ht="15.75" x14ac:dyDescent="0.25">
      <c r="A61" s="6" t="s">
        <v>41</v>
      </c>
      <c r="B61" s="12">
        <f t="shared" ref="B61:J61" si="15">B52</f>
        <v>-57843</v>
      </c>
      <c r="C61" s="12">
        <f t="shared" si="15"/>
        <v>-62125</v>
      </c>
      <c r="D61" s="12">
        <f t="shared" si="15"/>
        <v>-53729</v>
      </c>
      <c r="E61" s="12">
        <f t="shared" si="15"/>
        <v>-23589</v>
      </c>
      <c r="F61" s="12">
        <f t="shared" si="15"/>
        <v>-45504</v>
      </c>
      <c r="G61" s="12">
        <f t="shared" si="15"/>
        <v>-44339</v>
      </c>
      <c r="H61" s="12">
        <f t="shared" si="15"/>
        <v>-36146</v>
      </c>
      <c r="I61" s="12">
        <f t="shared" si="15"/>
        <v>-23414</v>
      </c>
      <c r="J61" s="12">
        <f t="shared" si="15"/>
        <v>-17598</v>
      </c>
    </row>
    <row r="62" spans="1:10" ht="15.75" x14ac:dyDescent="0.25">
      <c r="A62" s="6" t="s">
        <v>42</v>
      </c>
      <c r="B62" s="12">
        <v>20000</v>
      </c>
      <c r="C62" s="12">
        <v>40000</v>
      </c>
      <c r="D62" s="12">
        <v>40000</v>
      </c>
      <c r="E62" s="12">
        <v>40000</v>
      </c>
      <c r="F62" s="12">
        <v>50000</v>
      </c>
      <c r="G62" s="12">
        <v>60000</v>
      </c>
      <c r="H62" s="12">
        <v>60000</v>
      </c>
      <c r="I62" s="14">
        <v>60000</v>
      </c>
      <c r="J62" s="14">
        <v>60000</v>
      </c>
    </row>
    <row r="63" spans="1:10" ht="14.25" customHeight="1" x14ac:dyDescent="0.25">
      <c r="A63" s="6" t="s">
        <v>43</v>
      </c>
      <c r="B63" s="12">
        <v>2516</v>
      </c>
      <c r="C63" s="12">
        <v>3272</v>
      </c>
      <c r="D63" s="12">
        <v>5919</v>
      </c>
      <c r="E63" s="12">
        <v>7849</v>
      </c>
      <c r="F63" s="12">
        <v>648</v>
      </c>
      <c r="G63" s="12">
        <v>707</v>
      </c>
      <c r="H63" s="12">
        <v>11415</v>
      </c>
      <c r="I63" s="14">
        <v>9602</v>
      </c>
      <c r="J63" s="14">
        <v>12243</v>
      </c>
    </row>
    <row r="64" spans="1:10" ht="15.75" x14ac:dyDescent="0.25">
      <c r="B64" s="19">
        <f>B59-B60-B61+B62+B63</f>
        <v>218734</v>
      </c>
      <c r="C64" s="19">
        <f t="shared" ref="C64:J64" si="16">C59-C60-C61+C62+C63</f>
        <v>258604</v>
      </c>
      <c r="D64" s="19">
        <f t="shared" si="16"/>
        <v>286316</v>
      </c>
      <c r="E64" s="19">
        <f t="shared" si="16"/>
        <v>177517</v>
      </c>
      <c r="F64" s="19">
        <f t="shared" si="16"/>
        <v>197128</v>
      </c>
      <c r="G64" s="19">
        <f t="shared" si="16"/>
        <v>215023</v>
      </c>
      <c r="H64" s="19">
        <f t="shared" si="16"/>
        <v>299183</v>
      </c>
      <c r="I64" s="19">
        <f t="shared" si="16"/>
        <v>246516</v>
      </c>
      <c r="J64" s="19">
        <f t="shared" si="16"/>
        <v>151100</v>
      </c>
    </row>
    <row r="66" spans="1:10" ht="30.75" x14ac:dyDescent="0.25">
      <c r="A66" s="20" t="s">
        <v>44</v>
      </c>
      <c r="B66" s="12">
        <v>-74287</v>
      </c>
      <c r="C66" s="12">
        <v>-133648</v>
      </c>
      <c r="D66" s="12">
        <v>-104745</v>
      </c>
      <c r="E66" s="12">
        <v>-71843</v>
      </c>
      <c r="F66" s="12">
        <v>-29776</v>
      </c>
      <c r="G66" s="12">
        <v>-54982</v>
      </c>
      <c r="H66" s="12">
        <v>-95317</v>
      </c>
      <c r="I66" s="14">
        <v>-110587</v>
      </c>
      <c r="J66" s="51">
        <v>-83551</v>
      </c>
    </row>
    <row r="67" spans="1:10" ht="15.75" x14ac:dyDescent="0.25">
      <c r="A67" s="6" t="s">
        <v>45</v>
      </c>
      <c r="B67" s="12">
        <v>-151347</v>
      </c>
      <c r="C67" s="12">
        <v>126103</v>
      </c>
      <c r="D67" s="12">
        <v>-157794</v>
      </c>
      <c r="E67" s="12">
        <v>106210</v>
      </c>
      <c r="F67" s="12">
        <v>-14774</v>
      </c>
      <c r="G67" s="12">
        <v>-286859</v>
      </c>
      <c r="H67" s="12">
        <v>-64193</v>
      </c>
      <c r="I67" s="14">
        <v>-10197</v>
      </c>
      <c r="J67" s="14">
        <v>126934</v>
      </c>
    </row>
    <row r="68" spans="1:10" ht="15.75" x14ac:dyDescent="0.25">
      <c r="A68" s="6" t="s">
        <v>46</v>
      </c>
      <c r="B68" s="12">
        <v>-94915</v>
      </c>
      <c r="C68" s="12">
        <v>-4532</v>
      </c>
      <c r="D68" s="12">
        <v>-66533</v>
      </c>
      <c r="E68" s="12">
        <v>116985</v>
      </c>
      <c r="F68" s="12">
        <v>-47393</v>
      </c>
      <c r="G68" s="12">
        <v>-45858</v>
      </c>
      <c r="H68" s="12">
        <v>-31297</v>
      </c>
      <c r="I68" s="14">
        <v>28049</v>
      </c>
      <c r="J68" s="14">
        <v>5303</v>
      </c>
    </row>
    <row r="69" spans="1:10" ht="15.75" x14ac:dyDescent="0.25">
      <c r="A69" s="6" t="s">
        <v>47</v>
      </c>
      <c r="B69" s="12">
        <v>73854</v>
      </c>
      <c r="C69" s="12">
        <v>-161293</v>
      </c>
      <c r="D69" s="12">
        <v>210145</v>
      </c>
      <c r="E69" s="12">
        <v>-52681</v>
      </c>
      <c r="F69" s="12">
        <v>152061</v>
      </c>
      <c r="G69" s="12">
        <v>398155</v>
      </c>
      <c r="H69" s="12">
        <v>-312405</v>
      </c>
      <c r="I69" s="14">
        <v>135814</v>
      </c>
      <c r="J69" s="14">
        <v>-65996</v>
      </c>
    </row>
    <row r="71" spans="1:10" ht="15.75" x14ac:dyDescent="0.25">
      <c r="A71" s="15" t="s">
        <v>48</v>
      </c>
      <c r="B71" s="9">
        <f t="shared" ref="B71:J71" si="17">B64+B66+B67+B68+B69</f>
        <v>-27961</v>
      </c>
      <c r="C71" s="9">
        <f t="shared" si="17"/>
        <v>85234</v>
      </c>
      <c r="D71" s="9">
        <f t="shared" si="17"/>
        <v>167389</v>
      </c>
      <c r="E71" s="9">
        <f t="shared" si="17"/>
        <v>276188</v>
      </c>
      <c r="F71" s="9">
        <f t="shared" si="17"/>
        <v>257246</v>
      </c>
      <c r="G71" s="9">
        <f t="shared" si="17"/>
        <v>225479</v>
      </c>
      <c r="H71" s="9">
        <f t="shared" si="17"/>
        <v>-204029</v>
      </c>
      <c r="I71" s="9">
        <f t="shared" si="17"/>
        <v>289595</v>
      </c>
      <c r="J71" s="9">
        <f t="shared" si="17"/>
        <v>133790</v>
      </c>
    </row>
    <row r="73" spans="1:10" ht="15.75" x14ac:dyDescent="0.25">
      <c r="A73" s="15" t="s">
        <v>49</v>
      </c>
    </row>
    <row r="74" spans="1:10" ht="15.75" x14ac:dyDescent="0.25">
      <c r="A74" s="6" t="s">
        <v>50</v>
      </c>
      <c r="B74" s="12">
        <v>-149878</v>
      </c>
      <c r="C74" s="12">
        <v>-30013</v>
      </c>
      <c r="D74" s="12">
        <v>-37376</v>
      </c>
      <c r="E74" s="12">
        <v>-74243</v>
      </c>
      <c r="F74" s="12">
        <v>-194387</v>
      </c>
      <c r="G74" s="12">
        <v>-189645</v>
      </c>
      <c r="H74" s="12">
        <v>-39769</v>
      </c>
      <c r="I74" s="14">
        <v>-66061</v>
      </c>
      <c r="J74" s="14">
        <v>-47695</v>
      </c>
    </row>
    <row r="76" spans="1:10" ht="15.75" x14ac:dyDescent="0.25">
      <c r="A76" s="18" t="s">
        <v>51</v>
      </c>
      <c r="B76" s="9">
        <f t="shared" ref="B76:J76" si="18">B74</f>
        <v>-149878</v>
      </c>
      <c r="C76" s="9">
        <f t="shared" si="18"/>
        <v>-30013</v>
      </c>
      <c r="D76" s="9">
        <f t="shared" si="18"/>
        <v>-37376</v>
      </c>
      <c r="E76" s="9">
        <f t="shared" si="18"/>
        <v>-74243</v>
      </c>
      <c r="F76" s="9">
        <f t="shared" si="18"/>
        <v>-194387</v>
      </c>
      <c r="G76" s="9">
        <f t="shared" si="18"/>
        <v>-189645</v>
      </c>
      <c r="H76" s="9">
        <f t="shared" si="18"/>
        <v>-39769</v>
      </c>
      <c r="I76" s="9">
        <f t="shared" si="18"/>
        <v>-66061</v>
      </c>
      <c r="J76" s="9">
        <f t="shared" si="18"/>
        <v>-47695</v>
      </c>
    </row>
    <row r="78" spans="1:10" ht="15.75" x14ac:dyDescent="0.25">
      <c r="A78" s="15" t="s">
        <v>52</v>
      </c>
    </row>
    <row r="79" spans="1:10" ht="30.75" x14ac:dyDescent="0.25">
      <c r="A79" s="20" t="s">
        <v>53</v>
      </c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4">
        <v>-11078</v>
      </c>
      <c r="J79" s="14">
        <v>-11078</v>
      </c>
    </row>
    <row r="80" spans="1:10" ht="15.75" x14ac:dyDescent="0.25">
      <c r="A80" s="6" t="s">
        <v>54</v>
      </c>
      <c r="B80" s="12">
        <v>477808</v>
      </c>
      <c r="C80" s="12">
        <v>549848</v>
      </c>
      <c r="D80" s="12">
        <v>617790</v>
      </c>
      <c r="E80" s="12">
        <v>1126208</v>
      </c>
      <c r="F80" s="12">
        <v>911207</v>
      </c>
      <c r="G80" s="12">
        <v>1054378</v>
      </c>
      <c r="H80" s="12">
        <v>1829926</v>
      </c>
      <c r="I80" s="14">
        <v>391919</v>
      </c>
      <c r="J80" s="14">
        <v>248800</v>
      </c>
    </row>
    <row r="81" spans="1:10" ht="15.75" x14ac:dyDescent="0.25">
      <c r="A81" s="6" t="s">
        <v>55</v>
      </c>
      <c r="B81" s="12">
        <v>-240612</v>
      </c>
      <c r="C81" s="12">
        <v>-483075</v>
      </c>
      <c r="D81" s="12">
        <v>-616115</v>
      </c>
      <c r="E81" s="12">
        <v>-1197678</v>
      </c>
      <c r="F81" s="12">
        <v>-900352</v>
      </c>
      <c r="G81" s="12">
        <v>-1024492</v>
      </c>
      <c r="H81" s="12">
        <v>-1479823</v>
      </c>
      <c r="I81" s="14">
        <v>-498697</v>
      </c>
      <c r="J81" s="14">
        <v>-369446</v>
      </c>
    </row>
    <row r="82" spans="1:10" ht="30.75" x14ac:dyDescent="0.25">
      <c r="A82" s="20" t="s">
        <v>56</v>
      </c>
      <c r="B82" s="12">
        <v>-94043</v>
      </c>
      <c r="C82" s="12">
        <v>-122201</v>
      </c>
      <c r="D82" s="12">
        <v>-127587</v>
      </c>
      <c r="E82" s="12">
        <v>-133127</v>
      </c>
      <c r="F82" s="12">
        <v>-66675</v>
      </c>
      <c r="G82" s="12">
        <v>-55605</v>
      </c>
      <c r="H82" s="12">
        <v>-27917</v>
      </c>
      <c r="I82" s="14">
        <v>-44321</v>
      </c>
      <c r="J82" s="14">
        <v>-33252</v>
      </c>
    </row>
    <row r="84" spans="1:10" ht="15.75" x14ac:dyDescent="0.25">
      <c r="A84" s="15" t="s">
        <v>57</v>
      </c>
      <c r="B84" s="9">
        <f t="shared" ref="B84:J84" si="19">B79+B80+B81+B82</f>
        <v>143153</v>
      </c>
      <c r="C84" s="9">
        <f t="shared" si="19"/>
        <v>-55428</v>
      </c>
      <c r="D84" s="9">
        <f t="shared" si="19"/>
        <v>-125912</v>
      </c>
      <c r="E84" s="9">
        <f t="shared" si="19"/>
        <v>-204597</v>
      </c>
      <c r="F84" s="9">
        <f t="shared" si="19"/>
        <v>-55820</v>
      </c>
      <c r="G84" s="9">
        <f t="shared" si="19"/>
        <v>-25719</v>
      </c>
      <c r="H84" s="9">
        <f t="shared" si="19"/>
        <v>322186</v>
      </c>
      <c r="I84" s="9">
        <f t="shared" si="19"/>
        <v>-162177</v>
      </c>
      <c r="J84" s="9">
        <f t="shared" si="19"/>
        <v>-164976</v>
      </c>
    </row>
    <row r="86" spans="1:10" ht="15.75" x14ac:dyDescent="0.25">
      <c r="A86" s="18" t="s">
        <v>58</v>
      </c>
      <c r="B86" s="9">
        <f t="shared" ref="B86:J86" si="20">B71+B76+B84</f>
        <v>-34686</v>
      </c>
      <c r="C86" s="9">
        <f>C71+C76+C84</f>
        <v>-207</v>
      </c>
      <c r="D86" s="9">
        <f>D71+D76+D84</f>
        <v>4101</v>
      </c>
      <c r="E86" s="9">
        <f>E71+E76+E84</f>
        <v>-2652</v>
      </c>
      <c r="F86" s="9">
        <f t="shared" si="20"/>
        <v>7039</v>
      </c>
      <c r="G86" s="9">
        <f t="shared" si="20"/>
        <v>10115</v>
      </c>
      <c r="H86" s="9">
        <f t="shared" si="20"/>
        <v>78388</v>
      </c>
      <c r="I86" s="9">
        <f t="shared" si="20"/>
        <v>61357</v>
      </c>
      <c r="J86" s="9">
        <f t="shared" si="20"/>
        <v>-78881</v>
      </c>
    </row>
    <row r="88" spans="1:10" ht="15.75" x14ac:dyDescent="0.25">
      <c r="A88" s="18" t="s">
        <v>59</v>
      </c>
    </row>
    <row r="89" spans="1:10" ht="15.75" x14ac:dyDescent="0.25">
      <c r="A89" s="6" t="s">
        <v>60</v>
      </c>
      <c r="B89" s="12">
        <v>41426</v>
      </c>
      <c r="C89" s="12">
        <v>6740</v>
      </c>
      <c r="D89" s="12">
        <v>6533</v>
      </c>
      <c r="E89" s="12">
        <v>10634</v>
      </c>
      <c r="F89" s="12">
        <v>7982</v>
      </c>
      <c r="G89" s="12">
        <v>15021</v>
      </c>
      <c r="H89" s="12">
        <v>25136</v>
      </c>
      <c r="I89" s="14">
        <v>103524</v>
      </c>
      <c r="J89" s="14">
        <v>164881</v>
      </c>
    </row>
    <row r="90" spans="1:10" ht="15.75" x14ac:dyDescent="0.25">
      <c r="A90" s="6" t="s">
        <v>61</v>
      </c>
      <c r="B90" s="12">
        <f t="shared" ref="B90:J90" si="21">B86</f>
        <v>-34686</v>
      </c>
      <c r="C90" s="12">
        <f t="shared" si="21"/>
        <v>-207</v>
      </c>
      <c r="D90" s="12">
        <f t="shared" si="21"/>
        <v>4101</v>
      </c>
      <c r="E90" s="12">
        <f t="shared" si="21"/>
        <v>-2652</v>
      </c>
      <c r="F90" s="12">
        <f t="shared" si="21"/>
        <v>7039</v>
      </c>
      <c r="G90" s="12">
        <f t="shared" si="21"/>
        <v>10115</v>
      </c>
      <c r="H90" s="12">
        <f t="shared" si="21"/>
        <v>78388</v>
      </c>
      <c r="I90" s="12">
        <f t="shared" si="21"/>
        <v>61357</v>
      </c>
      <c r="J90" s="12">
        <f t="shared" si="21"/>
        <v>-78881</v>
      </c>
    </row>
    <row r="91" spans="1:10" ht="15.75" x14ac:dyDescent="0.25">
      <c r="A91" s="6" t="s">
        <v>62</v>
      </c>
      <c r="B91" s="12">
        <v>0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</row>
    <row r="92" spans="1:10" ht="15.75" x14ac:dyDescent="0.25">
      <c r="A92" s="15" t="s">
        <v>63</v>
      </c>
      <c r="B92" s="9">
        <f t="shared" ref="B92:J92" si="22">SUM(B89:B91)</f>
        <v>6740</v>
      </c>
      <c r="C92" s="9">
        <f t="shared" si="22"/>
        <v>6533</v>
      </c>
      <c r="D92" s="9">
        <f t="shared" si="22"/>
        <v>10634</v>
      </c>
      <c r="E92" s="9">
        <f>SUM(E89:E91)</f>
        <v>7982</v>
      </c>
      <c r="F92" s="9">
        <f t="shared" si="22"/>
        <v>15021</v>
      </c>
      <c r="G92" s="9">
        <f t="shared" si="22"/>
        <v>25136</v>
      </c>
      <c r="H92" s="9">
        <f t="shared" si="22"/>
        <v>103524</v>
      </c>
      <c r="I92" s="9">
        <f t="shared" si="22"/>
        <v>164881</v>
      </c>
      <c r="J92" s="9">
        <f t="shared" si="22"/>
        <v>86000</v>
      </c>
    </row>
    <row r="93" spans="1:10" ht="15.75" x14ac:dyDescent="0.25">
      <c r="A93" s="6" t="s">
        <v>26</v>
      </c>
      <c r="B93" s="12">
        <f t="shared" ref="B93:J93" si="23">B92-B14</f>
        <v>0</v>
      </c>
      <c r="C93" s="12">
        <f t="shared" si="23"/>
        <v>0</v>
      </c>
      <c r="D93" s="12">
        <f t="shared" si="23"/>
        <v>0</v>
      </c>
      <c r="E93" s="12">
        <f t="shared" si="23"/>
        <v>0</v>
      </c>
      <c r="F93" s="12">
        <f t="shared" si="23"/>
        <v>0</v>
      </c>
      <c r="G93" s="12">
        <f t="shared" si="23"/>
        <v>0</v>
      </c>
      <c r="H93" s="12">
        <f t="shared" si="23"/>
        <v>0</v>
      </c>
      <c r="I93" s="12">
        <f t="shared" si="23"/>
        <v>0</v>
      </c>
      <c r="J93" s="12">
        <f t="shared" si="23"/>
        <v>0</v>
      </c>
    </row>
    <row r="97" spans="1:10" ht="15.75" x14ac:dyDescent="0.25">
      <c r="A97" s="11" t="s">
        <v>64</v>
      </c>
    </row>
    <row r="98" spans="1:10" ht="15.75" x14ac:dyDescent="0.25">
      <c r="A98" s="21" t="s">
        <v>65</v>
      </c>
    </row>
    <row r="99" spans="1:10" ht="15.75" x14ac:dyDescent="0.25">
      <c r="A99" s="6" t="s">
        <v>66</v>
      </c>
      <c r="B99" s="3">
        <f>B15-B21</f>
        <v>-9686</v>
      </c>
      <c r="C99" s="3">
        <f t="shared" ref="C99:J99" si="24">C15-C21</f>
        <v>-30179</v>
      </c>
      <c r="D99" s="3">
        <f t="shared" si="24"/>
        <v>-42937</v>
      </c>
      <c r="E99" s="3">
        <f t="shared" si="24"/>
        <v>-147448</v>
      </c>
      <c r="F99" s="3">
        <f t="shared" si="24"/>
        <v>-309764</v>
      </c>
      <c r="G99" s="3">
        <f t="shared" si="24"/>
        <v>-488655</v>
      </c>
      <c r="H99" s="3">
        <f t="shared" si="24"/>
        <v>-176591</v>
      </c>
      <c r="I99" s="3">
        <f t="shared" si="24"/>
        <v>56655</v>
      </c>
      <c r="J99" s="3">
        <f t="shared" si="24"/>
        <v>3368</v>
      </c>
    </row>
    <row r="100" spans="1:10" ht="15.75" x14ac:dyDescent="0.25">
      <c r="A100" s="6" t="s">
        <v>178</v>
      </c>
      <c r="B100" s="3">
        <f t="shared" ref="B100:J100" si="25">B15/B21</f>
        <v>0.98310798438107661</v>
      </c>
      <c r="C100" s="3">
        <f t="shared" si="25"/>
        <v>0.93600191703724434</v>
      </c>
      <c r="D100" s="3">
        <f t="shared" si="25"/>
        <v>0.93940997505108315</v>
      </c>
      <c r="E100" s="3">
        <f t="shared" si="25"/>
        <v>0.75207739930792594</v>
      </c>
      <c r="F100" s="3">
        <f t="shared" si="25"/>
        <v>0.62214225594359529</v>
      </c>
      <c r="G100" s="3">
        <f t="shared" si="25"/>
        <v>0.63545233587130212</v>
      </c>
      <c r="H100" s="3">
        <f t="shared" si="25"/>
        <v>0.85331316494221943</v>
      </c>
      <c r="I100" s="3">
        <f t="shared" si="25"/>
        <v>1.05561767474827</v>
      </c>
      <c r="J100" s="3">
        <f t="shared" si="25"/>
        <v>1.003864033739164</v>
      </c>
    </row>
    <row r="101" spans="1:10" ht="15.75" x14ac:dyDescent="0.25">
      <c r="A101" s="6" t="s">
        <v>179</v>
      </c>
      <c r="B101" s="3">
        <f t="shared" ref="B101:J101" si="26">B12/B42*365</f>
        <v>31.054416405673631</v>
      </c>
      <c r="C101" s="3">
        <f t="shared" si="26"/>
        <v>25.41408587059956</v>
      </c>
      <c r="D101" s="3">
        <f t="shared" si="26"/>
        <v>30.930263854505874</v>
      </c>
      <c r="E101" s="3">
        <f t="shared" si="26"/>
        <v>14.837352609885302</v>
      </c>
      <c r="F101" s="3">
        <f t="shared" si="26"/>
        <v>25.75830281330099</v>
      </c>
      <c r="G101" s="3">
        <f t="shared" si="26"/>
        <v>21.792132259237352</v>
      </c>
      <c r="H101" s="3">
        <f t="shared" si="26"/>
        <v>16.560030914686827</v>
      </c>
      <c r="I101" s="3">
        <f t="shared" si="26"/>
        <v>13.089532369124274</v>
      </c>
      <c r="J101" s="3">
        <f t="shared" si="26"/>
        <v>13.489026137338799</v>
      </c>
    </row>
    <row r="102" spans="1:10" ht="15.75" x14ac:dyDescent="0.25">
      <c r="A102" s="6" t="s">
        <v>67</v>
      </c>
      <c r="B102" s="3">
        <f t="shared" ref="B102:J102" si="27">B11/B42*365</f>
        <v>38.478458797531545</v>
      </c>
      <c r="C102" s="3">
        <f t="shared" si="27"/>
        <v>18.314086531812325</v>
      </c>
      <c r="D102" s="3">
        <f t="shared" si="27"/>
        <v>33.359748091826781</v>
      </c>
      <c r="E102" s="3">
        <f t="shared" si="27"/>
        <v>16.865663216714307</v>
      </c>
      <c r="F102" s="3">
        <f t="shared" si="27"/>
        <v>25.962152488138837</v>
      </c>
      <c r="G102" s="3">
        <f t="shared" si="27"/>
        <v>40.046598197351813</v>
      </c>
      <c r="H102" s="3">
        <f t="shared" si="27"/>
        <v>30.622003442988206</v>
      </c>
      <c r="I102" s="3">
        <f t="shared" si="27"/>
        <v>27.007686043886963</v>
      </c>
      <c r="J102" s="3">
        <f t="shared" si="27"/>
        <v>22.466415968110901</v>
      </c>
    </row>
    <row r="103" spans="1:10" ht="15.75" x14ac:dyDescent="0.25">
      <c r="A103" s="50" t="s">
        <v>68</v>
      </c>
      <c r="B103" s="3">
        <f>B99/B17</f>
        <v>-7.4326963437364993E-3</v>
      </c>
      <c r="C103" s="3">
        <f t="shared" ref="C103:I103" si="28">C99/C17</f>
        <v>-2.5702695636103178E-2</v>
      </c>
      <c r="D103" s="3">
        <f t="shared" si="28"/>
        <v>-3.0745226423551889E-2</v>
      </c>
      <c r="E103" s="3">
        <f t="shared" si="28"/>
        <v>-0.12221814224246187</v>
      </c>
      <c r="F103" s="3">
        <f t="shared" si="28"/>
        <v>-0.21928223090738036</v>
      </c>
      <c r="G103" s="3">
        <f t="shared" si="28"/>
        <v>-0.25922654571496778</v>
      </c>
      <c r="H103" s="3">
        <f t="shared" si="28"/>
        <v>-8.6891592539341853E-2</v>
      </c>
      <c r="I103" s="3">
        <f t="shared" si="28"/>
        <v>2.7259945994945928E-2</v>
      </c>
      <c r="J103" s="3">
        <f>J99/J17</f>
        <v>1.8148937683617888E-3</v>
      </c>
    </row>
    <row r="104" spans="1:10" ht="15.75" x14ac:dyDescent="0.25">
      <c r="A104" s="18" t="s">
        <v>69</v>
      </c>
    </row>
    <row r="105" spans="1:10" ht="15.75" x14ac:dyDescent="0.25">
      <c r="A105" s="6" t="s">
        <v>180</v>
      </c>
      <c r="B105" s="3">
        <f t="shared" ref="B105:J105" si="29">B53/B17</f>
        <v>0.10028461563843608</v>
      </c>
      <c r="C105" s="3">
        <f t="shared" si="29"/>
        <v>0.10856640125639075</v>
      </c>
      <c r="D105" s="3">
        <f t="shared" si="29"/>
        <v>0.11076143789445644</v>
      </c>
      <c r="E105" s="3">
        <f t="shared" si="29"/>
        <v>6.2802492968942331E-2</v>
      </c>
      <c r="F105" s="3">
        <f>F53/F17</f>
        <v>6.0102206739641818E-2</v>
      </c>
      <c r="G105" s="3">
        <f t="shared" si="29"/>
        <v>4.3649770563115038E-2</v>
      </c>
      <c r="H105" s="3">
        <f t="shared" si="29"/>
        <v>6.9344599308965055E-2</v>
      </c>
      <c r="I105" s="3">
        <f t="shared" si="29"/>
        <v>4.3762185299308483E-2</v>
      </c>
      <c r="J105" s="3">
        <f t="shared" si="29"/>
        <v>3.0041664960264174E-3</v>
      </c>
    </row>
    <row r="106" spans="1:10" ht="15.75" x14ac:dyDescent="0.25">
      <c r="A106" s="6" t="s">
        <v>70</v>
      </c>
      <c r="B106" s="3">
        <f t="shared" ref="B106:J106" si="30">B53/B34</f>
        <v>0.38592061706192765</v>
      </c>
      <c r="C106" s="3">
        <f t="shared" si="30"/>
        <v>0.37029484386347133</v>
      </c>
      <c r="D106" s="3">
        <f t="shared" si="30"/>
        <v>0.41633717597090969</v>
      </c>
      <c r="E106" s="3">
        <f t="shared" si="30"/>
        <v>0.24101984985367095</v>
      </c>
      <c r="F106" s="3">
        <f t="shared" si="30"/>
        <v>0.25512031539219693</v>
      </c>
      <c r="G106" s="3">
        <f t="shared" si="30"/>
        <v>0.22903891172974733</v>
      </c>
      <c r="H106" s="3">
        <f t="shared" si="30"/>
        <v>0.31684900154231471</v>
      </c>
      <c r="I106" s="3">
        <f t="shared" si="30"/>
        <v>0.18944149833578419</v>
      </c>
      <c r="J106" s="3">
        <f t="shared" si="30"/>
        <v>1.264172335600907E-2</v>
      </c>
    </row>
    <row r="107" spans="1:10" ht="15.75" x14ac:dyDescent="0.25">
      <c r="A107" s="6" t="s">
        <v>181</v>
      </c>
      <c r="B107" s="3">
        <f t="shared" ref="B107:J107" si="31">B53/B42</f>
        <v>4.4698127656459863E-2</v>
      </c>
      <c r="C107" s="3">
        <f t="shared" si="31"/>
        <v>3.5119764916822192E-2</v>
      </c>
      <c r="D107" s="3">
        <f t="shared" si="31"/>
        <v>4.1591145032995595E-2</v>
      </c>
      <c r="E107" s="3">
        <f t="shared" si="31"/>
        <v>1.4980373687830817E-2</v>
      </c>
      <c r="F107" s="3">
        <f t="shared" si="31"/>
        <v>2.4304002995419276E-2</v>
      </c>
      <c r="G107" s="3">
        <f t="shared" si="31"/>
        <v>1.6863602025386604E-2</v>
      </c>
      <c r="H107" s="3">
        <f t="shared" si="31"/>
        <v>1.9721196879200709E-2</v>
      </c>
      <c r="I107" s="3">
        <f t="shared" si="31"/>
        <v>1.1037515806540084E-2</v>
      </c>
      <c r="J107" s="3">
        <f t="shared" si="31"/>
        <v>7.1076304333053751E-4</v>
      </c>
    </row>
    <row r="108" spans="1:10" ht="15.75" x14ac:dyDescent="0.25">
      <c r="A108" s="6" t="s">
        <v>71</v>
      </c>
      <c r="B108" s="3">
        <f t="shared" ref="B108:J108" si="32">B53/B99</f>
        <v>-13.492360107371464</v>
      </c>
      <c r="C108" s="3">
        <f t="shared" si="32"/>
        <v>-4.2239305477318663</v>
      </c>
      <c r="D108" s="3">
        <f t="shared" si="32"/>
        <v>-3.6025572350187485</v>
      </c>
      <c r="E108" s="3">
        <f t="shared" si="32"/>
        <v>-0.51385573219033154</v>
      </c>
      <c r="F108" s="3">
        <f t="shared" si="32"/>
        <v>-0.27408607843390453</v>
      </c>
      <c r="G108" s="3">
        <f t="shared" si="32"/>
        <v>-0.16838464765529873</v>
      </c>
      <c r="H108" s="3">
        <f t="shared" si="32"/>
        <v>-0.79805879121812551</v>
      </c>
      <c r="I108" s="3">
        <f t="shared" si="32"/>
        <v>1.6053658106080664</v>
      </c>
      <c r="J108" s="3">
        <f t="shared" si="32"/>
        <v>1.6552850356294537</v>
      </c>
    </row>
    <row r="109" spans="1:10" ht="15.75" x14ac:dyDescent="0.25">
      <c r="A109" s="6" t="s">
        <v>72</v>
      </c>
      <c r="B109" s="3">
        <f t="shared" ref="B109:J109" si="33">B32/B17</f>
        <v>0.17651541137280813</v>
      </c>
      <c r="C109" s="3">
        <f t="shared" si="33"/>
        <v>0.19918886486219475</v>
      </c>
      <c r="D109" s="3">
        <f t="shared" si="33"/>
        <v>0.18841681811216562</v>
      </c>
      <c r="E109" s="3">
        <f t="shared" si="33"/>
        <v>0.17071731293822368</v>
      </c>
      <c r="F109" s="3">
        <f t="shared" si="33"/>
        <v>0.12378568440218118</v>
      </c>
      <c r="G109" s="3">
        <f t="shared" si="33"/>
        <v>0.10255165645473595</v>
      </c>
      <c r="H109" s="3">
        <f t="shared" si="33"/>
        <v>0.14513948139903579</v>
      </c>
      <c r="I109" s="3">
        <f t="shared" si="33"/>
        <v>0.16164852063489621</v>
      </c>
      <c r="J109" s="3">
        <f t="shared" si="33"/>
        <v>0.16701980217226833</v>
      </c>
    </row>
    <row r="110" spans="1:10" ht="15.75" x14ac:dyDescent="0.25">
      <c r="A110" s="50" t="s">
        <v>73</v>
      </c>
      <c r="B110" s="3">
        <f>B48/B17</f>
        <v>0.15057080437490072</v>
      </c>
      <c r="C110" s="3">
        <f t="shared" ref="C110:J110" si="34">C48/C17</f>
        <v>0.18339285121155008</v>
      </c>
      <c r="D110" s="3">
        <f t="shared" si="34"/>
        <v>0.17213732204258805</v>
      </c>
      <c r="E110" s="3">
        <f t="shared" si="34"/>
        <v>0.10748048171759228</v>
      </c>
      <c r="F110" s="3">
        <f t="shared" si="34"/>
        <v>0.10369333164380973</v>
      </c>
      <c r="G110" s="3">
        <f t="shared" si="34"/>
        <v>8.1863080554892442E-2</v>
      </c>
      <c r="H110" s="3">
        <f t="shared" si="34"/>
        <v>0.11207323277800577</v>
      </c>
      <c r="I110" s="3">
        <f t="shared" si="34"/>
        <v>8.5123397506837242E-2</v>
      </c>
      <c r="J110" s="3">
        <f t="shared" si="34"/>
        <v>4.2493194148368642E-2</v>
      </c>
    </row>
    <row r="111" spans="1:10" ht="15.75" x14ac:dyDescent="0.25">
      <c r="A111" s="18" t="s">
        <v>74</v>
      </c>
    </row>
    <row r="112" spans="1:10" ht="15.75" x14ac:dyDescent="0.25">
      <c r="A112" s="6" t="s">
        <v>75</v>
      </c>
      <c r="B112" s="3">
        <f t="shared" ref="B112:J112" si="35">B27/B34</f>
        <v>2.848253439523738</v>
      </c>
      <c r="C112" s="3">
        <f t="shared" si="35"/>
        <v>2.4107683369644155</v>
      </c>
      <c r="D112" s="3">
        <f t="shared" si="35"/>
        <v>2.7588639501740087</v>
      </c>
      <c r="E112" s="3">
        <f t="shared" si="35"/>
        <v>2.8377433515714467</v>
      </c>
      <c r="F112" s="3">
        <f t="shared" si="35"/>
        <v>3.244774513810428</v>
      </c>
      <c r="G112" s="3">
        <f t="shared" si="35"/>
        <v>4.2471962343666929</v>
      </c>
      <c r="H112" s="3">
        <f t="shared" si="35"/>
        <v>3.569195073585949</v>
      </c>
      <c r="I112" s="3">
        <f t="shared" si="35"/>
        <v>3.3288857044069435</v>
      </c>
      <c r="J112" s="3">
        <f t="shared" si="35"/>
        <v>3.2080634920634923</v>
      </c>
    </row>
    <row r="113" spans="1:10" ht="15.75" x14ac:dyDescent="0.25">
      <c r="A113" s="6" t="s">
        <v>76</v>
      </c>
      <c r="B113" s="3">
        <f t="shared" ref="B113:I113" si="36">B27/B17</f>
        <v>0.74014185507393182</v>
      </c>
      <c r="C113" s="3">
        <f t="shared" si="36"/>
        <v>0.70681092903248888</v>
      </c>
      <c r="D113" s="3">
        <f t="shared" si="36"/>
        <v>0.73396217227981686</v>
      </c>
      <c r="E113" s="3">
        <f t="shared" si="36"/>
        <v>0.7394302045782899</v>
      </c>
      <c r="F113" s="3">
        <f t="shared" si="36"/>
        <v>0.76441622593933145</v>
      </c>
      <c r="G113" s="3">
        <f t="shared" si="36"/>
        <v>0.80942203124585554</v>
      </c>
      <c r="H113" s="3">
        <f t="shared" si="36"/>
        <v>0.78114307139546346</v>
      </c>
      <c r="I113" s="3">
        <f t="shared" si="36"/>
        <v>0.76899366989939966</v>
      </c>
      <c r="J113" s="3">
        <f>J27/J17</f>
        <v>0.76236100004526453</v>
      </c>
    </row>
    <row r="114" spans="1:10" ht="15.75" x14ac:dyDescent="0.25">
      <c r="A114" s="6" t="s">
        <v>77</v>
      </c>
      <c r="B114" s="3">
        <f>B48/-B50</f>
        <v>25.522632674297608</v>
      </c>
      <c r="C114" s="3">
        <f t="shared" ref="C114:I114" si="37">C48/-C50</f>
        <v>8.3679322271013881</v>
      </c>
      <c r="D114" s="3">
        <f t="shared" si="37"/>
        <v>7.5159293418790059</v>
      </c>
      <c r="E114" s="3">
        <f t="shared" si="37"/>
        <v>4.2777777777777777</v>
      </c>
      <c r="F114" s="3">
        <f t="shared" si="37"/>
        <v>9.1128530546223718</v>
      </c>
      <c r="G114" s="3">
        <f t="shared" si="37"/>
        <v>5.5719805018956494</v>
      </c>
      <c r="H114" s="3">
        <f t="shared" si="37"/>
        <v>4.4931744653988792</v>
      </c>
      <c r="I114" s="3">
        <f t="shared" si="37"/>
        <v>2.8284517490567245</v>
      </c>
      <c r="J114" s="3">
        <f>J48/-J50</f>
        <v>1.4161518569068314</v>
      </c>
    </row>
    <row r="115" spans="1:10" ht="15.75" x14ac:dyDescent="0.25">
      <c r="A115" s="50" t="s">
        <v>78</v>
      </c>
      <c r="B115" s="3">
        <f t="shared" ref="B115:J115" si="38">B34/B27</f>
        <v>0.35109235228983415</v>
      </c>
      <c r="C115" s="3">
        <f t="shared" si="38"/>
        <v>0.41480551435281304</v>
      </c>
      <c r="D115" s="3">
        <f t="shared" si="38"/>
        <v>0.36246803686601775</v>
      </c>
      <c r="E115" s="3">
        <f t="shared" si="38"/>
        <v>0.35239268535198354</v>
      </c>
      <c r="F115" s="3">
        <f t="shared" si="38"/>
        <v>0.30818782499178116</v>
      </c>
      <c r="G115" s="3">
        <f t="shared" si="38"/>
        <v>0.23544944589759739</v>
      </c>
      <c r="H115" s="3">
        <f t="shared" si="38"/>
        <v>0.28017521580721727</v>
      </c>
      <c r="I115" s="3">
        <f t="shared" si="38"/>
        <v>0.3004008214148508</v>
      </c>
      <c r="J115" s="3">
        <f t="shared" si="38"/>
        <v>0.31171452886575496</v>
      </c>
    </row>
    <row r="118" spans="1:10" ht="15.75" x14ac:dyDescent="0.25">
      <c r="A118" s="18" t="s">
        <v>79</v>
      </c>
      <c r="B118" s="3">
        <f t="shared" ref="B118:J118" si="39">B103*1.2+B109*1.4+B110*3.3+B115*0.6+B42/B17</f>
        <v>3.1893390889854922</v>
      </c>
      <c r="C118" s="3">
        <f t="shared" si="39"/>
        <v>4.193420027295816</v>
      </c>
      <c r="D118" s="3">
        <f t="shared" si="39"/>
        <v>3.6755246904744467</v>
      </c>
      <c r="E118" s="3">
        <f t="shared" si="39"/>
        <v>4.8507818492534183</v>
      </c>
      <c r="F118" s="3">
        <f t="shared" si="39"/>
        <v>2.9101964393946873</v>
      </c>
      <c r="G118" s="3">
        <f t="shared" si="39"/>
        <v>2.8323196662123338</v>
      </c>
      <c r="H118" s="3">
        <f t="shared" si="39"/>
        <v>4.1531191578283755</v>
      </c>
      <c r="I118" s="3">
        <f t="shared" si="39"/>
        <v>4.685025791002615</v>
      </c>
      <c r="J118" s="3">
        <f t="shared" si="39"/>
        <v>4.7899398220120961</v>
      </c>
    </row>
    <row r="121" spans="1:10" ht="15.75" x14ac:dyDescent="0.25">
      <c r="A121" s="21" t="s">
        <v>80</v>
      </c>
    </row>
    <row r="122" spans="1:10" ht="15.75" x14ac:dyDescent="0.25">
      <c r="A122" s="6" t="s">
        <v>81</v>
      </c>
      <c r="B122" s="8">
        <v>110782980</v>
      </c>
      <c r="C122" s="8">
        <v>110782980</v>
      </c>
      <c r="D122" s="8">
        <v>110782980</v>
      </c>
      <c r="E122" s="8">
        <v>110782980</v>
      </c>
      <c r="F122" s="3">
        <v>110782980</v>
      </c>
      <c r="G122" s="3">
        <v>110782980</v>
      </c>
      <c r="H122" s="3">
        <v>110782980</v>
      </c>
      <c r="I122" s="3">
        <v>110782980</v>
      </c>
      <c r="J122" s="8">
        <v>110782980</v>
      </c>
    </row>
    <row r="123" spans="1:10" ht="15.75" x14ac:dyDescent="0.25">
      <c r="A123" s="6" t="s">
        <v>82</v>
      </c>
      <c r="B123" s="3">
        <v>0.2</v>
      </c>
      <c r="C123" s="3">
        <v>0.3</v>
      </c>
      <c r="D123" s="3">
        <v>0.3</v>
      </c>
      <c r="E123" s="3">
        <v>0.3</v>
      </c>
      <c r="F123" s="3">
        <v>0.3</v>
      </c>
      <c r="G123" s="3">
        <v>1.2</v>
      </c>
      <c r="H123" s="3">
        <v>0.95</v>
      </c>
      <c r="I123" s="3">
        <v>0.85</v>
      </c>
      <c r="J123" s="3">
        <v>0.75</v>
      </c>
    </row>
    <row r="124" spans="1:10" ht="15.75" x14ac:dyDescent="0.25">
      <c r="A124" s="6" t="s">
        <v>83</v>
      </c>
      <c r="B124" s="3">
        <v>18.760000000000002</v>
      </c>
      <c r="C124" s="3">
        <v>18.45</v>
      </c>
      <c r="D124" s="3">
        <v>14.93</v>
      </c>
      <c r="E124" s="3">
        <v>7.14</v>
      </c>
      <c r="F124" s="3">
        <v>9.94</v>
      </c>
      <c r="G124" s="3">
        <v>6.72</v>
      </c>
      <c r="H124" s="3">
        <v>5.76</v>
      </c>
      <c r="I124" s="3">
        <v>9.27</v>
      </c>
      <c r="J124" s="3">
        <v>8.2200000000000006</v>
      </c>
    </row>
    <row r="125" spans="1:10" ht="15.75" x14ac:dyDescent="0.25">
      <c r="A125" s="6" t="s">
        <v>84</v>
      </c>
      <c r="B125" s="3">
        <f t="shared" ref="B125:J125" si="40">B124/B162</f>
        <v>15.898305084745765</v>
      </c>
      <c r="C125" s="3">
        <f t="shared" si="40"/>
        <v>16.043478260869566</v>
      </c>
      <c r="D125" s="3">
        <f t="shared" si="40"/>
        <v>10.664285714285715</v>
      </c>
      <c r="E125" s="3">
        <f t="shared" si="40"/>
        <v>10.499999999999998</v>
      </c>
      <c r="F125" s="3">
        <f t="shared" si="40"/>
        <v>12.909090909090908</v>
      </c>
      <c r="G125" s="3">
        <f t="shared" si="40"/>
        <v>9.0810810810810807</v>
      </c>
      <c r="H125" s="3">
        <f t="shared" si="40"/>
        <v>4.5354330708661417</v>
      </c>
      <c r="I125" s="3">
        <f t="shared" si="40"/>
        <v>11.304878048780488</v>
      </c>
      <c r="J125" s="3">
        <f t="shared" si="40"/>
        <v>164.4</v>
      </c>
    </row>
    <row r="126" spans="1:10" ht="15.75" x14ac:dyDescent="0.25">
      <c r="A126" s="6" t="s">
        <v>85</v>
      </c>
      <c r="B126" s="3">
        <f t="shared" ref="B126:J126" si="41">B124/B123</f>
        <v>93.8</v>
      </c>
      <c r="C126" s="3">
        <f t="shared" si="41"/>
        <v>61.5</v>
      </c>
      <c r="D126" s="3">
        <f t="shared" si="41"/>
        <v>49.766666666666666</v>
      </c>
      <c r="E126" s="3">
        <f t="shared" si="41"/>
        <v>23.8</v>
      </c>
      <c r="F126" s="3">
        <f t="shared" si="41"/>
        <v>33.133333333333333</v>
      </c>
      <c r="G126" s="3">
        <f t="shared" si="41"/>
        <v>5.6</v>
      </c>
      <c r="H126" s="3">
        <f t="shared" si="41"/>
        <v>6.0631578947368423</v>
      </c>
      <c r="I126" s="3">
        <f t="shared" si="41"/>
        <v>10.905882352941177</v>
      </c>
      <c r="J126" s="3">
        <f t="shared" si="41"/>
        <v>10.96</v>
      </c>
    </row>
    <row r="129" spans="1:10" ht="15.75" x14ac:dyDescent="0.25">
      <c r="A129" s="9" t="s">
        <v>86</v>
      </c>
      <c r="B129" s="22">
        <v>2005</v>
      </c>
      <c r="C129" s="22">
        <v>2006</v>
      </c>
      <c r="D129" s="22">
        <v>2007</v>
      </c>
      <c r="E129" s="22">
        <v>2008</v>
      </c>
      <c r="F129" s="22">
        <v>2009</v>
      </c>
      <c r="G129" s="22">
        <v>2010</v>
      </c>
      <c r="H129" s="22">
        <v>2011</v>
      </c>
      <c r="I129" s="22">
        <v>2012</v>
      </c>
      <c r="J129" s="22">
        <v>2013</v>
      </c>
    </row>
    <row r="130" spans="1:10" ht="15.75" x14ac:dyDescent="0.25">
      <c r="A130" s="1" t="s">
        <v>87</v>
      </c>
      <c r="B130" s="3">
        <f t="shared" ref="B130:J130" si="42">B53</f>
        <v>130687</v>
      </c>
      <c r="C130" s="3">
        <f t="shared" si="42"/>
        <v>127474</v>
      </c>
      <c r="D130" s="3">
        <f t="shared" si="42"/>
        <v>154683</v>
      </c>
      <c r="E130" s="3">
        <f t="shared" si="42"/>
        <v>75767</v>
      </c>
      <c r="F130" s="3">
        <f t="shared" si="42"/>
        <v>84902</v>
      </c>
      <c r="G130" s="3">
        <f t="shared" si="42"/>
        <v>82282</v>
      </c>
      <c r="H130" s="3">
        <f t="shared" si="42"/>
        <v>140930</v>
      </c>
      <c r="I130" s="3">
        <f t="shared" si="42"/>
        <v>90952</v>
      </c>
      <c r="J130" s="3">
        <f t="shared" si="42"/>
        <v>5575</v>
      </c>
    </row>
    <row r="131" spans="1:10" ht="15.75" x14ac:dyDescent="0.25">
      <c r="A131" s="1" t="s">
        <v>88</v>
      </c>
      <c r="B131" s="3">
        <f t="shared" ref="B131:J131" si="43">B34</f>
        <v>338637</v>
      </c>
      <c r="C131" s="3">
        <f t="shared" si="43"/>
        <v>344250</v>
      </c>
      <c r="D131" s="3">
        <f t="shared" si="43"/>
        <v>371533</v>
      </c>
      <c r="E131" s="3">
        <f t="shared" si="43"/>
        <v>314360</v>
      </c>
      <c r="F131" s="3">
        <f t="shared" si="43"/>
        <v>332792</v>
      </c>
      <c r="G131" s="3">
        <f t="shared" si="43"/>
        <v>359249</v>
      </c>
      <c r="H131" s="3">
        <f t="shared" si="43"/>
        <v>444786</v>
      </c>
      <c r="I131" s="3">
        <f t="shared" si="43"/>
        <v>480106</v>
      </c>
      <c r="J131" s="3">
        <f t="shared" si="43"/>
        <v>441000</v>
      </c>
    </row>
    <row r="132" spans="1:10" ht="15.75" x14ac:dyDescent="0.25">
      <c r="A132" s="1" t="s">
        <v>89</v>
      </c>
      <c r="B132" s="3">
        <f t="shared" ref="B132:J132" si="44">B17</f>
        <v>1303161</v>
      </c>
      <c r="C132" s="3">
        <f t="shared" si="44"/>
        <v>1174157</v>
      </c>
      <c r="D132" s="3">
        <f t="shared" si="44"/>
        <v>1396542</v>
      </c>
      <c r="E132" s="3">
        <f t="shared" si="44"/>
        <v>1206433</v>
      </c>
      <c r="F132" s="3">
        <f t="shared" si="44"/>
        <v>1412627</v>
      </c>
      <c r="G132" s="3">
        <f t="shared" si="44"/>
        <v>1885050</v>
      </c>
      <c r="H132" s="3">
        <f t="shared" si="44"/>
        <v>2032314</v>
      </c>
      <c r="I132" s="3">
        <f t="shared" si="44"/>
        <v>2078324</v>
      </c>
      <c r="J132" s="3">
        <f t="shared" si="44"/>
        <v>1855756</v>
      </c>
    </row>
    <row r="133" spans="1:10" ht="15.75" x14ac:dyDescent="0.25">
      <c r="A133" s="1" t="s">
        <v>90</v>
      </c>
      <c r="B133" s="3">
        <f t="shared" ref="B133:J133" si="45">B15</f>
        <v>563721</v>
      </c>
      <c r="C133" s="3">
        <f t="shared" si="45"/>
        <v>441382</v>
      </c>
      <c r="D133" s="3">
        <f t="shared" si="45"/>
        <v>665711</v>
      </c>
      <c r="E133" s="3">
        <f t="shared" si="45"/>
        <v>447286</v>
      </c>
      <c r="F133" s="3">
        <f t="shared" si="45"/>
        <v>510026</v>
      </c>
      <c r="G133" s="3">
        <f t="shared" si="45"/>
        <v>851787</v>
      </c>
      <c r="H133" s="3">
        <f t="shared" si="45"/>
        <v>1027273</v>
      </c>
      <c r="I133" s="3">
        <f t="shared" si="45"/>
        <v>1075306</v>
      </c>
      <c r="J133" s="3">
        <f t="shared" si="45"/>
        <v>874996</v>
      </c>
    </row>
    <row r="134" spans="1:10" ht="15.75" x14ac:dyDescent="0.25">
      <c r="A134" s="1" t="s">
        <v>91</v>
      </c>
      <c r="B134" s="3">
        <f t="shared" ref="B134:J134" si="46">B21</f>
        <v>573407</v>
      </c>
      <c r="C134" s="3">
        <f t="shared" si="46"/>
        <v>471561</v>
      </c>
      <c r="D134" s="3">
        <f t="shared" si="46"/>
        <v>708648</v>
      </c>
      <c r="E134" s="3">
        <f t="shared" si="46"/>
        <v>594734</v>
      </c>
      <c r="F134" s="3">
        <f t="shared" si="46"/>
        <v>819790</v>
      </c>
      <c r="G134" s="3">
        <f t="shared" si="46"/>
        <v>1340442</v>
      </c>
      <c r="H134" s="3">
        <f t="shared" si="46"/>
        <v>1203864</v>
      </c>
      <c r="I134" s="3">
        <f t="shared" si="46"/>
        <v>1018651</v>
      </c>
      <c r="J134" s="3">
        <f t="shared" si="46"/>
        <v>871628</v>
      </c>
    </row>
    <row r="135" spans="1:10" ht="15.75" x14ac:dyDescent="0.25">
      <c r="A135" s="1" t="s">
        <v>92</v>
      </c>
      <c r="B135" s="3">
        <f t="shared" ref="B135:J135" si="47">B106</f>
        <v>0.38592061706192765</v>
      </c>
      <c r="C135" s="3">
        <f t="shared" si="47"/>
        <v>0.37029484386347133</v>
      </c>
      <c r="D135" s="3">
        <f t="shared" si="47"/>
        <v>0.41633717597090969</v>
      </c>
      <c r="E135" s="3">
        <f t="shared" si="47"/>
        <v>0.24101984985367095</v>
      </c>
      <c r="F135" s="3">
        <f t="shared" si="47"/>
        <v>0.25512031539219693</v>
      </c>
      <c r="G135" s="3">
        <f t="shared" si="47"/>
        <v>0.22903891172974733</v>
      </c>
      <c r="H135" s="3">
        <f t="shared" si="47"/>
        <v>0.31684900154231471</v>
      </c>
      <c r="I135" s="3">
        <f t="shared" si="47"/>
        <v>0.18944149833578419</v>
      </c>
      <c r="J135" s="3">
        <f t="shared" si="47"/>
        <v>1.264172335600907E-2</v>
      </c>
    </row>
    <row r="136" spans="1:10" ht="15.75" x14ac:dyDescent="0.25">
      <c r="A136" s="1" t="s">
        <v>93</v>
      </c>
      <c r="B136" s="3">
        <f t="shared" ref="B136:I136" si="48">B48/B53</f>
        <v>1.501434725718702</v>
      </c>
      <c r="C136" s="3">
        <f t="shared" si="48"/>
        <v>1.689222900356151</v>
      </c>
      <c r="D136" s="3">
        <f t="shared" si="48"/>
        <v>1.5541268271238597</v>
      </c>
      <c r="E136" s="3">
        <f t="shared" si="48"/>
        <v>1.7114047012551639</v>
      </c>
      <c r="F136" s="3">
        <f t="shared" si="48"/>
        <v>1.7252832677675438</v>
      </c>
      <c r="G136" s="3">
        <f t="shared" si="48"/>
        <v>1.8754527114071122</v>
      </c>
      <c r="H136" s="3">
        <f t="shared" si="48"/>
        <v>1.6161782445185553</v>
      </c>
      <c r="I136" s="3">
        <f t="shared" si="48"/>
        <v>1.9451358958571554</v>
      </c>
      <c r="J136" s="3">
        <f>J48/J53</f>
        <v>14.1447533632287</v>
      </c>
    </row>
    <row r="137" spans="1:10" ht="15.75" x14ac:dyDescent="0.25">
      <c r="A137" s="1" t="s">
        <v>94</v>
      </c>
      <c r="B137" s="3">
        <f t="shared" ref="B137:I137" si="49">B27/B17</f>
        <v>0.74014185507393182</v>
      </c>
      <c r="C137" s="3">
        <f t="shared" si="49"/>
        <v>0.70681092903248888</v>
      </c>
      <c r="D137" s="3">
        <f t="shared" si="49"/>
        <v>0.73396217227981686</v>
      </c>
      <c r="E137" s="3">
        <f t="shared" si="49"/>
        <v>0.7394302045782899</v>
      </c>
      <c r="F137" s="3">
        <f t="shared" si="49"/>
        <v>0.76441622593933145</v>
      </c>
      <c r="G137" s="3">
        <f t="shared" si="49"/>
        <v>0.80942203124585554</v>
      </c>
      <c r="H137" s="3">
        <f t="shared" si="49"/>
        <v>0.78114307139546346</v>
      </c>
      <c r="I137" s="3">
        <f t="shared" si="49"/>
        <v>0.76899366989939966</v>
      </c>
      <c r="J137" s="3">
        <f>J27/J17</f>
        <v>0.76236100004526453</v>
      </c>
    </row>
    <row r="138" spans="1:10" ht="15.75" x14ac:dyDescent="0.25">
      <c r="A138" s="1" t="s">
        <v>95</v>
      </c>
      <c r="B138" s="3">
        <f t="shared" ref="B138:J138" si="50">B25/B131</f>
        <v>1.1549742054176007</v>
      </c>
      <c r="C138" s="3">
        <f t="shared" si="50"/>
        <v>1.0409469862018881</v>
      </c>
      <c r="D138" s="3">
        <f t="shared" si="50"/>
        <v>0.85150175085389457</v>
      </c>
      <c r="E138" s="3">
        <f t="shared" si="50"/>
        <v>0.94585507061967167</v>
      </c>
      <c r="F138" s="3">
        <f t="shared" si="50"/>
        <v>0.78140400009615618</v>
      </c>
      <c r="G138" s="3">
        <f t="shared" si="50"/>
        <v>0.5159624661446518</v>
      </c>
      <c r="H138" s="3">
        <f t="shared" si="50"/>
        <v>0.86258110641971641</v>
      </c>
      <c r="I138" s="3">
        <f t="shared" si="50"/>
        <v>1.207164667802527</v>
      </c>
      <c r="J138" s="3">
        <f t="shared" si="50"/>
        <v>1.2315827664399093</v>
      </c>
    </row>
    <row r="139" spans="1:10" ht="15.75" x14ac:dyDescent="0.25">
      <c r="A139" s="1" t="s">
        <v>96</v>
      </c>
      <c r="B139" s="3">
        <f t="shared" ref="B139:J139" si="51">B105</f>
        <v>0.10028461563843608</v>
      </c>
      <c r="C139" s="3">
        <f t="shared" si="51"/>
        <v>0.10856640125639075</v>
      </c>
      <c r="D139" s="3">
        <f t="shared" si="51"/>
        <v>0.11076143789445644</v>
      </c>
      <c r="E139" s="3">
        <f t="shared" si="51"/>
        <v>6.2802492968942331E-2</v>
      </c>
      <c r="F139" s="3">
        <f t="shared" si="51"/>
        <v>6.0102206739641818E-2</v>
      </c>
      <c r="G139" s="3">
        <f t="shared" si="51"/>
        <v>4.3649770563115038E-2</v>
      </c>
      <c r="H139" s="3">
        <f t="shared" si="51"/>
        <v>6.9344599308965055E-2</v>
      </c>
      <c r="I139" s="3">
        <f t="shared" si="51"/>
        <v>4.3762185299308483E-2</v>
      </c>
      <c r="J139" s="3">
        <f t="shared" si="51"/>
        <v>3.0041664960264174E-3</v>
      </c>
    </row>
    <row r="140" spans="1:10" ht="15.75" x14ac:dyDescent="0.25">
      <c r="A140" s="1" t="s">
        <v>97</v>
      </c>
      <c r="B140" s="3">
        <f t="shared" ref="B140:J140" si="52">B106</f>
        <v>0.38592061706192765</v>
      </c>
      <c r="C140" s="3">
        <f t="shared" si="52"/>
        <v>0.37029484386347133</v>
      </c>
      <c r="D140" s="3">
        <f t="shared" si="52"/>
        <v>0.41633717597090969</v>
      </c>
      <c r="E140" s="3">
        <f t="shared" si="52"/>
        <v>0.24101984985367095</v>
      </c>
      <c r="F140" s="3">
        <f t="shared" si="52"/>
        <v>0.25512031539219693</v>
      </c>
      <c r="G140" s="3">
        <f t="shared" si="52"/>
        <v>0.22903891172974733</v>
      </c>
      <c r="H140" s="3">
        <f t="shared" si="52"/>
        <v>0.31684900154231471</v>
      </c>
      <c r="I140" s="3">
        <f t="shared" si="52"/>
        <v>0.18944149833578419</v>
      </c>
      <c r="J140" s="3">
        <f t="shared" si="52"/>
        <v>1.264172335600907E-2</v>
      </c>
    </row>
    <row r="141" spans="1:10" ht="15.75" x14ac:dyDescent="0.25">
      <c r="A141" s="1" t="s">
        <v>185</v>
      </c>
      <c r="B141" s="3">
        <f t="shared" ref="B141:J141" si="53">B133/B134</f>
        <v>0.98310798438107661</v>
      </c>
      <c r="C141" s="3">
        <f t="shared" si="53"/>
        <v>0.93600191703724434</v>
      </c>
      <c r="D141" s="3">
        <f t="shared" si="53"/>
        <v>0.93940997505108315</v>
      </c>
      <c r="E141" s="3">
        <f t="shared" si="53"/>
        <v>0.75207739930792594</v>
      </c>
      <c r="F141" s="3">
        <f t="shared" si="53"/>
        <v>0.62214225594359529</v>
      </c>
      <c r="G141" s="3">
        <f t="shared" si="53"/>
        <v>0.63545233587130212</v>
      </c>
      <c r="H141" s="3">
        <f t="shared" si="53"/>
        <v>0.85331316494221943</v>
      </c>
      <c r="I141" s="3">
        <f t="shared" si="53"/>
        <v>1.05561767474827</v>
      </c>
      <c r="J141" s="3">
        <f t="shared" si="53"/>
        <v>1.003864033739164</v>
      </c>
    </row>
    <row r="142" spans="1:10" ht="15.75" x14ac:dyDescent="0.25">
      <c r="A142" s="23" t="s">
        <v>98</v>
      </c>
      <c r="B142" s="3">
        <f t="shared" ref="B142:J142" si="54">B130/B42</f>
        <v>4.4698127656459863E-2</v>
      </c>
      <c r="C142" s="3">
        <f t="shared" si="54"/>
        <v>3.5119764916822192E-2</v>
      </c>
      <c r="D142" s="3">
        <f t="shared" si="54"/>
        <v>4.1591145032995595E-2</v>
      </c>
      <c r="E142" s="3">
        <f t="shared" si="54"/>
        <v>1.4980373687830817E-2</v>
      </c>
      <c r="F142" s="3">
        <f t="shared" si="54"/>
        <v>2.4304002995419276E-2</v>
      </c>
      <c r="G142" s="3">
        <f t="shared" si="54"/>
        <v>1.6863602025386604E-2</v>
      </c>
      <c r="H142" s="3">
        <f t="shared" si="54"/>
        <v>1.9721196879200709E-2</v>
      </c>
      <c r="I142" s="3">
        <f t="shared" si="54"/>
        <v>1.1037515806540084E-2</v>
      </c>
      <c r="J142" s="3">
        <f t="shared" si="54"/>
        <v>7.1076304333053751E-4</v>
      </c>
    </row>
    <row r="143" spans="1:10" ht="15.75" x14ac:dyDescent="0.25">
      <c r="A143" s="24"/>
    </row>
    <row r="144" spans="1:10" ht="15.75" x14ac:dyDescent="0.25">
      <c r="A144" s="24"/>
    </row>
    <row r="145" spans="1:10" ht="15.75" x14ac:dyDescent="0.25">
      <c r="A145" s="25" t="s">
        <v>99</v>
      </c>
    </row>
    <row r="146" spans="1:10" ht="15.75" x14ac:dyDescent="0.25">
      <c r="A146" s="3" t="s">
        <v>100</v>
      </c>
      <c r="B146" s="3">
        <f t="shared" ref="B146:J146" si="55">B131/B132</f>
        <v>0.25985814492606824</v>
      </c>
      <c r="C146" s="3">
        <f t="shared" si="55"/>
        <v>0.29318907096751118</v>
      </c>
      <c r="D146" s="3">
        <f t="shared" si="55"/>
        <v>0.26603782772018314</v>
      </c>
      <c r="E146" s="3">
        <f t="shared" si="55"/>
        <v>0.2605697954217101</v>
      </c>
      <c r="F146" s="3">
        <f t="shared" si="55"/>
        <v>0.23558377406066852</v>
      </c>
      <c r="G146" s="3">
        <f t="shared" si="55"/>
        <v>0.19057796875414446</v>
      </c>
      <c r="H146" s="3">
        <f t="shared" si="55"/>
        <v>0.21885692860453651</v>
      </c>
      <c r="I146" s="3">
        <f t="shared" si="55"/>
        <v>0.23100633010060029</v>
      </c>
      <c r="J146" s="3">
        <f t="shared" si="55"/>
        <v>0.23763899995473542</v>
      </c>
    </row>
    <row r="147" spans="1:10" ht="15.75" x14ac:dyDescent="0.25">
      <c r="A147" s="3" t="s">
        <v>101</v>
      </c>
      <c r="B147" s="3">
        <f t="shared" ref="B147:J147" si="56">B27/B132</f>
        <v>0.74014185507393182</v>
      </c>
      <c r="C147" s="3">
        <f t="shared" si="56"/>
        <v>0.70681092903248888</v>
      </c>
      <c r="D147" s="3">
        <f t="shared" si="56"/>
        <v>0.73396217227981686</v>
      </c>
      <c r="E147" s="3">
        <f t="shared" si="56"/>
        <v>0.7394302045782899</v>
      </c>
      <c r="F147" s="3">
        <f t="shared" si="56"/>
        <v>0.76441622593933145</v>
      </c>
      <c r="G147" s="3">
        <f t="shared" si="56"/>
        <v>0.80942203124585554</v>
      </c>
      <c r="H147" s="3">
        <f t="shared" si="56"/>
        <v>0.78114307139546346</v>
      </c>
      <c r="I147" s="3">
        <f t="shared" si="56"/>
        <v>0.76899366989939966</v>
      </c>
      <c r="J147" s="3">
        <f t="shared" si="56"/>
        <v>0.76236100004526453</v>
      </c>
    </row>
    <row r="148" spans="1:10" ht="15.75" x14ac:dyDescent="0.25">
      <c r="A148" s="3" t="s">
        <v>102</v>
      </c>
      <c r="B148" s="7">
        <f t="shared" ref="B148:J148" si="57">B146+B147</f>
        <v>1</v>
      </c>
      <c r="C148" s="7">
        <f t="shared" si="57"/>
        <v>1</v>
      </c>
      <c r="D148" s="7">
        <f t="shared" si="57"/>
        <v>1</v>
      </c>
      <c r="E148" s="7">
        <f t="shared" si="57"/>
        <v>1</v>
      </c>
      <c r="F148" s="7">
        <f t="shared" si="57"/>
        <v>1</v>
      </c>
      <c r="G148" s="7">
        <f t="shared" si="57"/>
        <v>1</v>
      </c>
      <c r="H148" s="7">
        <f t="shared" si="57"/>
        <v>1</v>
      </c>
      <c r="I148" s="7">
        <f t="shared" si="57"/>
        <v>1</v>
      </c>
      <c r="J148" s="7">
        <f t="shared" si="57"/>
        <v>1</v>
      </c>
    </row>
    <row r="151" spans="1:10" ht="15.75" x14ac:dyDescent="0.25">
      <c r="A151" s="9" t="s">
        <v>103</v>
      </c>
    </row>
    <row r="152" spans="1:10" ht="15.75" x14ac:dyDescent="0.25">
      <c r="A152" s="3" t="s">
        <v>13</v>
      </c>
      <c r="B152" s="7">
        <f t="shared" ref="B152:J152" si="58">B17</f>
        <v>1303161</v>
      </c>
      <c r="C152" s="7">
        <f t="shared" si="58"/>
        <v>1174157</v>
      </c>
      <c r="D152" s="7">
        <f t="shared" si="58"/>
        <v>1396542</v>
      </c>
      <c r="E152" s="7">
        <f t="shared" si="58"/>
        <v>1206433</v>
      </c>
      <c r="F152" s="7">
        <f t="shared" si="58"/>
        <v>1412627</v>
      </c>
      <c r="G152" s="7">
        <f t="shared" si="58"/>
        <v>1885050</v>
      </c>
      <c r="H152" s="7">
        <f t="shared" si="58"/>
        <v>2032314</v>
      </c>
      <c r="I152" s="7">
        <f t="shared" si="58"/>
        <v>2078324</v>
      </c>
      <c r="J152" s="7">
        <f t="shared" si="58"/>
        <v>1855756</v>
      </c>
    </row>
    <row r="153" spans="1:10" ht="15.75" x14ac:dyDescent="0.25">
      <c r="A153" s="3" t="s">
        <v>104</v>
      </c>
      <c r="B153" s="7">
        <f t="shared" ref="B153:J153" si="59">B21</f>
        <v>573407</v>
      </c>
      <c r="C153" s="7">
        <f t="shared" si="59"/>
        <v>471561</v>
      </c>
      <c r="D153" s="7">
        <f t="shared" si="59"/>
        <v>708648</v>
      </c>
      <c r="E153" s="7">
        <f t="shared" si="59"/>
        <v>594734</v>
      </c>
      <c r="F153" s="7">
        <f t="shared" si="59"/>
        <v>819790</v>
      </c>
      <c r="G153" s="7">
        <f t="shared" si="59"/>
        <v>1340442</v>
      </c>
      <c r="H153" s="7">
        <f t="shared" si="59"/>
        <v>1203864</v>
      </c>
      <c r="I153" s="7">
        <f t="shared" si="59"/>
        <v>1018651</v>
      </c>
      <c r="J153" s="7">
        <f t="shared" si="59"/>
        <v>871628</v>
      </c>
    </row>
    <row r="154" spans="1:10" ht="15.75" x14ac:dyDescent="0.25">
      <c r="A154" s="3" t="s">
        <v>105</v>
      </c>
      <c r="B154" s="7">
        <f t="shared" ref="B154:J154" si="60">B25</f>
        <v>391117</v>
      </c>
      <c r="C154" s="7">
        <f t="shared" si="60"/>
        <v>358346</v>
      </c>
      <c r="D154" s="7">
        <f t="shared" si="60"/>
        <v>316361</v>
      </c>
      <c r="E154" s="7">
        <f t="shared" si="60"/>
        <v>297339</v>
      </c>
      <c r="F154" s="7">
        <f t="shared" si="60"/>
        <v>260045</v>
      </c>
      <c r="G154" s="7">
        <f t="shared" si="60"/>
        <v>185359</v>
      </c>
      <c r="H154" s="7">
        <f t="shared" si="60"/>
        <v>383664</v>
      </c>
      <c r="I154" s="7">
        <f t="shared" si="60"/>
        <v>579567</v>
      </c>
      <c r="J154" s="7">
        <f t="shared" si="60"/>
        <v>543128</v>
      </c>
    </row>
    <row r="155" spans="1:10" ht="15.75" x14ac:dyDescent="0.25">
      <c r="A155" s="3" t="s">
        <v>106</v>
      </c>
      <c r="B155" s="4">
        <f t="shared" ref="B155:J155" si="61">B152-(B153+B154)</f>
        <v>338637</v>
      </c>
      <c r="C155" s="4">
        <f t="shared" si="61"/>
        <v>344250</v>
      </c>
      <c r="D155" s="4">
        <f t="shared" si="61"/>
        <v>371533</v>
      </c>
      <c r="E155" s="4">
        <f t="shared" si="61"/>
        <v>314360</v>
      </c>
      <c r="F155" s="4">
        <f t="shared" si="61"/>
        <v>332792</v>
      </c>
      <c r="G155" s="4">
        <f t="shared" si="61"/>
        <v>359249</v>
      </c>
      <c r="H155" s="4">
        <f t="shared" si="61"/>
        <v>444786</v>
      </c>
      <c r="I155" s="4">
        <f t="shared" si="61"/>
        <v>480106</v>
      </c>
      <c r="J155" s="4">
        <f t="shared" si="61"/>
        <v>441000</v>
      </c>
    </row>
    <row r="156" spans="1:10" ht="15.75" x14ac:dyDescent="0.25">
      <c r="B156" s="12"/>
      <c r="C156" s="12"/>
      <c r="D156" s="12"/>
      <c r="E156" s="12"/>
      <c r="F156" s="12"/>
      <c r="G156" s="12"/>
      <c r="H156" s="12"/>
      <c r="I156" s="12"/>
      <c r="J156" s="12"/>
    </row>
    <row r="157" spans="1:10" ht="15.75" x14ac:dyDescent="0.25">
      <c r="A157" s="9" t="s">
        <v>107</v>
      </c>
      <c r="B157" s="12"/>
      <c r="C157" s="12"/>
      <c r="D157" s="12"/>
      <c r="E157" s="12"/>
      <c r="F157" s="12"/>
      <c r="G157" s="12"/>
      <c r="H157" s="12"/>
      <c r="I157" s="12"/>
      <c r="J157" s="12"/>
    </row>
    <row r="158" spans="1:10" ht="15.75" x14ac:dyDescent="0.25">
      <c r="A158" s="9"/>
      <c r="B158" s="12"/>
      <c r="C158" s="12"/>
      <c r="D158" s="12"/>
      <c r="E158" s="12"/>
      <c r="F158" s="12"/>
      <c r="G158" s="12"/>
      <c r="H158" s="12"/>
      <c r="I158" s="12"/>
      <c r="J158" s="12"/>
    </row>
    <row r="159" spans="1:10" x14ac:dyDescent="0.25">
      <c r="A159" s="26" t="s">
        <v>108</v>
      </c>
    </row>
    <row r="160" spans="1:10" ht="15.75" x14ac:dyDescent="0.25">
      <c r="A160" s="28"/>
      <c r="J160" s="29"/>
    </row>
    <row r="161" spans="1:20" ht="15.75" x14ac:dyDescent="0.25">
      <c r="A161" s="3" t="s">
        <v>109</v>
      </c>
      <c r="B161" s="5">
        <f t="shared" ref="B161:J161" si="62">B124</f>
        <v>18.760000000000002</v>
      </c>
      <c r="C161" s="5">
        <f t="shared" si="62"/>
        <v>18.45</v>
      </c>
      <c r="D161" s="5">
        <f t="shared" si="62"/>
        <v>14.93</v>
      </c>
      <c r="E161" s="5">
        <f t="shared" si="62"/>
        <v>7.14</v>
      </c>
      <c r="F161" s="5">
        <f t="shared" si="62"/>
        <v>9.94</v>
      </c>
      <c r="G161" s="5">
        <f t="shared" si="62"/>
        <v>6.72</v>
      </c>
      <c r="H161" s="5">
        <f t="shared" si="62"/>
        <v>5.76</v>
      </c>
      <c r="I161" s="5">
        <f t="shared" si="62"/>
        <v>9.27</v>
      </c>
      <c r="J161" s="5">
        <f t="shared" si="62"/>
        <v>8.2200000000000006</v>
      </c>
    </row>
    <row r="162" spans="1:20" ht="15.75" x14ac:dyDescent="0.25">
      <c r="A162" s="3" t="s">
        <v>110</v>
      </c>
      <c r="B162" s="5">
        <v>1.18</v>
      </c>
      <c r="C162" s="5">
        <v>1.1499999999999999</v>
      </c>
      <c r="D162" s="5">
        <v>1.4</v>
      </c>
      <c r="E162" s="5">
        <v>0.68</v>
      </c>
      <c r="F162" s="5">
        <v>0.77</v>
      </c>
      <c r="G162" s="5">
        <v>0.74</v>
      </c>
      <c r="H162" s="5">
        <v>1.27</v>
      </c>
      <c r="I162" s="5">
        <v>0.82</v>
      </c>
      <c r="J162" s="5">
        <v>0.05</v>
      </c>
    </row>
    <row r="163" spans="1:20" ht="15.75" x14ac:dyDescent="0.25">
      <c r="A163" s="3" t="s">
        <v>111</v>
      </c>
      <c r="B163" s="5">
        <f t="shared" ref="B163:J163" si="63">B161/B162</f>
        <v>15.898305084745765</v>
      </c>
      <c r="C163" s="5">
        <f t="shared" si="63"/>
        <v>16.043478260869566</v>
      </c>
      <c r="D163" s="5">
        <f t="shared" si="63"/>
        <v>10.664285714285715</v>
      </c>
      <c r="E163" s="5">
        <f t="shared" si="63"/>
        <v>10.499999999999998</v>
      </c>
      <c r="F163" s="5">
        <f t="shared" si="63"/>
        <v>12.909090909090908</v>
      </c>
      <c r="G163" s="5">
        <f t="shared" si="63"/>
        <v>9.0810810810810807</v>
      </c>
      <c r="H163" s="5">
        <f t="shared" si="63"/>
        <v>4.5354330708661417</v>
      </c>
      <c r="I163" s="5">
        <f>I161/I162</f>
        <v>11.304878048780488</v>
      </c>
      <c r="J163" s="5">
        <f t="shared" si="63"/>
        <v>164.4</v>
      </c>
    </row>
    <row r="164" spans="1:20" ht="15.75" x14ac:dyDescent="0.25">
      <c r="A164" s="3" t="s">
        <v>112</v>
      </c>
      <c r="B164" s="5">
        <f t="shared" ref="B164:J164" si="64">B53</f>
        <v>130687</v>
      </c>
      <c r="C164" s="5">
        <f t="shared" si="64"/>
        <v>127474</v>
      </c>
      <c r="D164" s="5">
        <f t="shared" si="64"/>
        <v>154683</v>
      </c>
      <c r="E164" s="5">
        <f t="shared" si="64"/>
        <v>75767</v>
      </c>
      <c r="F164" s="5">
        <f t="shared" si="64"/>
        <v>84902</v>
      </c>
      <c r="G164" s="5">
        <f t="shared" si="64"/>
        <v>82282</v>
      </c>
      <c r="H164" s="5">
        <f>H53</f>
        <v>140930</v>
      </c>
      <c r="I164" s="5">
        <f t="shared" si="64"/>
        <v>90952</v>
      </c>
      <c r="J164" s="5">
        <f t="shared" si="64"/>
        <v>5575</v>
      </c>
    </row>
    <row r="165" spans="1:20" ht="15.75" x14ac:dyDescent="0.25">
      <c r="A165" s="3" t="s">
        <v>113</v>
      </c>
      <c r="B165" s="4">
        <f t="shared" ref="B165:J165" si="65">B163*B164</f>
        <v>2077701.7966101698</v>
      </c>
      <c r="C165" s="4">
        <f t="shared" si="65"/>
        <v>2045126.3478260871</v>
      </c>
      <c r="D165" s="4">
        <f t="shared" si="65"/>
        <v>1649583.7071428571</v>
      </c>
      <c r="E165" s="4">
        <f t="shared" si="65"/>
        <v>795553.49999999988</v>
      </c>
      <c r="F165" s="4">
        <f t="shared" si="65"/>
        <v>1096007.6363636362</v>
      </c>
      <c r="G165" s="4">
        <f t="shared" si="65"/>
        <v>747209.51351351349</v>
      </c>
      <c r="H165" s="4">
        <f t="shared" si="65"/>
        <v>639178.5826771654</v>
      </c>
      <c r="I165" s="4">
        <f t="shared" si="65"/>
        <v>1028201.2682926829</v>
      </c>
      <c r="J165" s="4">
        <f t="shared" si="65"/>
        <v>916530</v>
      </c>
    </row>
    <row r="166" spans="1:20" ht="15.75" x14ac:dyDescent="0.25">
      <c r="A166" s="28"/>
    </row>
    <row r="167" spans="1:20" x14ac:dyDescent="0.25">
      <c r="A167" s="26" t="s">
        <v>114</v>
      </c>
    </row>
    <row r="168" spans="1:20" ht="15.75" x14ac:dyDescent="0.25">
      <c r="A168" s="27"/>
    </row>
    <row r="169" spans="1:20" ht="15.75" x14ac:dyDescent="0.25">
      <c r="A169" s="1" t="s">
        <v>115</v>
      </c>
      <c r="B169" s="2">
        <v>1.1000000000000001</v>
      </c>
      <c r="C169" s="2">
        <v>1.1000000000000001</v>
      </c>
      <c r="D169" s="2">
        <v>1.2</v>
      </c>
      <c r="E169" s="2">
        <v>0.6</v>
      </c>
      <c r="F169" s="2">
        <v>0.7</v>
      </c>
      <c r="G169" s="2">
        <v>0.2</v>
      </c>
      <c r="H169" s="2">
        <v>0.4</v>
      </c>
      <c r="I169" s="5">
        <v>0.3</v>
      </c>
      <c r="J169" s="2">
        <v>0.2</v>
      </c>
      <c r="L169" s="6">
        <v>2005</v>
      </c>
      <c r="M169" s="6">
        <v>2006</v>
      </c>
      <c r="N169" s="6">
        <v>2007</v>
      </c>
      <c r="O169" s="6">
        <v>2008</v>
      </c>
      <c r="P169" s="6">
        <v>2009</v>
      </c>
      <c r="Q169" s="6">
        <v>2010</v>
      </c>
      <c r="R169" s="6">
        <v>2011</v>
      </c>
      <c r="S169" s="6">
        <v>2012</v>
      </c>
      <c r="T169" s="6">
        <v>2013</v>
      </c>
    </row>
    <row r="170" spans="1:20" ht="15.75" x14ac:dyDescent="0.25">
      <c r="A170" s="1" t="s">
        <v>116</v>
      </c>
      <c r="B170" s="2">
        <f t="shared" ref="B170:J170" si="66">L173</f>
        <v>7.1370000000000003E-2</v>
      </c>
      <c r="C170" s="2">
        <f t="shared" si="66"/>
        <v>7.3179500000000008E-2</v>
      </c>
      <c r="D170" s="2">
        <f t="shared" si="66"/>
        <v>0.23241550000000002</v>
      </c>
      <c r="E170" s="2">
        <f t="shared" si="66"/>
        <v>7.7145000000000005E-2</v>
      </c>
      <c r="F170" s="2">
        <f t="shared" si="66"/>
        <v>7.8761999999999999E-2</v>
      </c>
      <c r="G170" s="2">
        <f t="shared" si="66"/>
        <v>0.1042105</v>
      </c>
      <c r="H170" s="2">
        <f t="shared" si="66"/>
        <v>0.12661749999999999</v>
      </c>
      <c r="I170" s="2">
        <f t="shared" si="66"/>
        <v>0.108946</v>
      </c>
      <c r="J170" s="2">
        <f t="shared" si="66"/>
        <v>9.0966500000000006E-2</v>
      </c>
      <c r="K170" s="58" t="s">
        <v>188</v>
      </c>
      <c r="L170" s="3">
        <v>3.5700000000000003E-2</v>
      </c>
      <c r="M170" s="3">
        <v>4.0399999999999998E-2</v>
      </c>
      <c r="N170" s="3">
        <v>0.45400000000000001</v>
      </c>
      <c r="O170" s="3">
        <v>5.0700000000000002E-2</v>
      </c>
      <c r="P170" s="3">
        <v>5.4899999999999997E-2</v>
      </c>
      <c r="Q170" s="3">
        <v>0.121</v>
      </c>
      <c r="R170" s="3">
        <v>0.1792</v>
      </c>
      <c r="S170" s="3">
        <v>0.1333</v>
      </c>
      <c r="T170" s="3">
        <v>8.6599999999999996E-2</v>
      </c>
    </row>
    <row r="171" spans="1:20" ht="15.75" x14ac:dyDescent="0.25">
      <c r="A171" s="1" t="s">
        <v>117</v>
      </c>
      <c r="B171" s="4">
        <f t="shared" ref="B171:J171" si="67">B122</f>
        <v>110782980</v>
      </c>
      <c r="C171" s="4">
        <f t="shared" si="67"/>
        <v>110782980</v>
      </c>
      <c r="D171" s="4">
        <f t="shared" si="67"/>
        <v>110782980</v>
      </c>
      <c r="E171" s="4">
        <f t="shared" si="67"/>
        <v>110782980</v>
      </c>
      <c r="F171" s="4">
        <f t="shared" si="67"/>
        <v>110782980</v>
      </c>
      <c r="G171" s="4">
        <f t="shared" si="67"/>
        <v>110782980</v>
      </c>
      <c r="H171" s="4">
        <f t="shared" si="67"/>
        <v>110782980</v>
      </c>
      <c r="I171" s="4">
        <f t="shared" si="67"/>
        <v>110782980</v>
      </c>
      <c r="J171" s="55">
        <f t="shared" si="67"/>
        <v>110782980</v>
      </c>
      <c r="K171" s="58" t="s">
        <v>189</v>
      </c>
      <c r="L171" s="3">
        <v>9.3700000000000006E-2</v>
      </c>
      <c r="M171" s="3">
        <v>9.3700000000000006E-2</v>
      </c>
      <c r="N171" s="3">
        <v>9.3700000000000006E-2</v>
      </c>
      <c r="O171" s="3">
        <v>9.3700000000000006E-2</v>
      </c>
      <c r="P171" s="3">
        <v>9.3700000000000006E-2</v>
      </c>
      <c r="Q171" s="3">
        <v>9.3700000000000006E-2</v>
      </c>
      <c r="R171" s="3">
        <v>9.3700000000000006E-2</v>
      </c>
      <c r="S171" s="3">
        <v>9.3700000000000006E-2</v>
      </c>
      <c r="T171" s="3">
        <v>9.3700000000000006E-2</v>
      </c>
    </row>
    <row r="172" spans="1:20" ht="15.75" x14ac:dyDescent="0.25">
      <c r="A172" s="1" t="s">
        <v>118</v>
      </c>
      <c r="B172" s="4">
        <f t="shared" ref="B172:J172" si="68">(B169/B170)*B171</f>
        <v>1707458007.5662043</v>
      </c>
      <c r="C172" s="4">
        <f t="shared" si="68"/>
        <v>1665237914.9898536</v>
      </c>
      <c r="D172" s="4">
        <f t="shared" si="68"/>
        <v>571991007.48444057</v>
      </c>
      <c r="E172" s="4">
        <f t="shared" si="68"/>
        <v>861621466.07038689</v>
      </c>
      <c r="F172" s="4">
        <f t="shared" si="68"/>
        <v>984587567.60874534</v>
      </c>
      <c r="G172" s="4">
        <f t="shared" si="68"/>
        <v>212613853.69036713</v>
      </c>
      <c r="H172" s="4">
        <f>(H169/H170)*H171</f>
        <v>349976835.74545383</v>
      </c>
      <c r="I172" s="4">
        <f t="shared" si="68"/>
        <v>305058414.26027572</v>
      </c>
      <c r="J172" s="55">
        <f t="shared" si="68"/>
        <v>243568742.33921281</v>
      </c>
      <c r="K172" s="58" t="s">
        <v>190</v>
      </c>
      <c r="L172" s="3">
        <v>0.61499999999999999</v>
      </c>
      <c r="M172" s="3">
        <v>0.61499999999999999</v>
      </c>
      <c r="N172" s="3">
        <v>0.61499999999999999</v>
      </c>
      <c r="O172" s="3">
        <v>0.61499999999999999</v>
      </c>
      <c r="P172" s="3">
        <v>0.61499999999999999</v>
      </c>
      <c r="Q172" s="3">
        <v>0.61499999999999999</v>
      </c>
      <c r="R172" s="3">
        <v>0.61499999999999999</v>
      </c>
      <c r="S172" s="3">
        <v>0.61499999999999999</v>
      </c>
      <c r="T172" s="3">
        <v>0.61499999999999999</v>
      </c>
    </row>
    <row r="173" spans="1:20" ht="15.75" x14ac:dyDescent="0.25">
      <c r="B173" s="12"/>
      <c r="C173" s="12"/>
      <c r="D173" s="12"/>
      <c r="E173" s="12"/>
      <c r="F173" s="12"/>
      <c r="G173" s="12"/>
      <c r="H173" s="12"/>
      <c r="I173" s="12"/>
      <c r="J173" s="12"/>
      <c r="K173" s="56" t="s">
        <v>192</v>
      </c>
      <c r="L173" s="56">
        <f>L170+L172*(L171- L170)</f>
        <v>7.1370000000000003E-2</v>
      </c>
      <c r="M173" s="56">
        <f t="shared" ref="M173:T173" si="69">M170+M172*(M171- M170)</f>
        <v>7.3179500000000008E-2</v>
      </c>
      <c r="N173" s="56">
        <f t="shared" si="69"/>
        <v>0.23241550000000002</v>
      </c>
      <c r="O173" s="56">
        <f t="shared" si="69"/>
        <v>7.7145000000000005E-2</v>
      </c>
      <c r="P173" s="56">
        <f t="shared" si="69"/>
        <v>7.8761999999999999E-2</v>
      </c>
      <c r="Q173" s="56">
        <f t="shared" si="69"/>
        <v>0.1042105</v>
      </c>
      <c r="R173" s="56">
        <f t="shared" si="69"/>
        <v>0.12661749999999999</v>
      </c>
      <c r="S173" s="56">
        <f t="shared" si="69"/>
        <v>0.108946</v>
      </c>
      <c r="T173" s="56">
        <f t="shared" si="69"/>
        <v>9.0966500000000006E-2</v>
      </c>
    </row>
    <row r="174" spans="1:20" ht="15.75" x14ac:dyDescent="0.25">
      <c r="A174" s="25" t="s">
        <v>119</v>
      </c>
      <c r="B174" s="26"/>
      <c r="C174" s="12"/>
      <c r="D174" s="12"/>
      <c r="E174" s="12"/>
      <c r="F174" s="12"/>
      <c r="G174" s="12"/>
      <c r="H174" s="12"/>
      <c r="I174" s="12"/>
      <c r="J174" s="12"/>
    </row>
    <row r="175" spans="1:20" ht="15.75" x14ac:dyDescent="0.25">
      <c r="C175" s="12"/>
      <c r="D175" s="12"/>
      <c r="E175" s="12"/>
      <c r="F175" s="12"/>
      <c r="G175" s="12"/>
      <c r="H175" s="12"/>
      <c r="I175" s="12"/>
      <c r="J175" s="12"/>
    </row>
    <row r="176" spans="1:20" ht="15.75" x14ac:dyDescent="0.25">
      <c r="A176" s="3" t="s">
        <v>13</v>
      </c>
      <c r="B176" s="30">
        <f t="shared" ref="B176:J176" si="70">B17</f>
        <v>1303161</v>
      </c>
      <c r="C176" s="30">
        <f t="shared" si="70"/>
        <v>1174157</v>
      </c>
      <c r="D176" s="30">
        <f t="shared" si="70"/>
        <v>1396542</v>
      </c>
      <c r="E176" s="30">
        <f t="shared" si="70"/>
        <v>1206433</v>
      </c>
      <c r="F176" s="30">
        <f t="shared" si="70"/>
        <v>1412627</v>
      </c>
      <c r="G176" s="30">
        <f t="shared" si="70"/>
        <v>1885050</v>
      </c>
      <c r="H176" s="30">
        <f t="shared" si="70"/>
        <v>2032314</v>
      </c>
      <c r="I176" s="30">
        <f t="shared" si="70"/>
        <v>2078324</v>
      </c>
      <c r="J176" s="30">
        <f t="shared" si="70"/>
        <v>1855756</v>
      </c>
    </row>
    <row r="177" spans="1:10" ht="15.75" x14ac:dyDescent="0.25">
      <c r="A177" s="3" t="s">
        <v>120</v>
      </c>
      <c r="B177" s="30">
        <f t="shared" ref="B177:J177" si="71">B21</f>
        <v>573407</v>
      </c>
      <c r="C177" s="30">
        <f t="shared" si="71"/>
        <v>471561</v>
      </c>
      <c r="D177" s="30">
        <f t="shared" si="71"/>
        <v>708648</v>
      </c>
      <c r="E177" s="30">
        <f t="shared" si="71"/>
        <v>594734</v>
      </c>
      <c r="F177" s="30">
        <f t="shared" si="71"/>
        <v>819790</v>
      </c>
      <c r="G177" s="30">
        <f t="shared" si="71"/>
        <v>1340442</v>
      </c>
      <c r="H177" s="30">
        <f t="shared" si="71"/>
        <v>1203864</v>
      </c>
      <c r="I177" s="30">
        <f t="shared" si="71"/>
        <v>1018651</v>
      </c>
      <c r="J177" s="30">
        <f t="shared" si="71"/>
        <v>871628</v>
      </c>
    </row>
    <row r="178" spans="1:10" ht="15.75" x14ac:dyDescent="0.25">
      <c r="A178" s="3" t="s">
        <v>18</v>
      </c>
      <c r="B178" s="30">
        <f t="shared" ref="B178:J178" si="72">B25</f>
        <v>391117</v>
      </c>
      <c r="C178" s="30">
        <f t="shared" si="72"/>
        <v>358346</v>
      </c>
      <c r="D178" s="30">
        <f t="shared" si="72"/>
        <v>316361</v>
      </c>
      <c r="E178" s="30">
        <f t="shared" si="72"/>
        <v>297339</v>
      </c>
      <c r="F178" s="30">
        <f t="shared" si="72"/>
        <v>260045</v>
      </c>
      <c r="G178" s="30">
        <f t="shared" si="72"/>
        <v>185359</v>
      </c>
      <c r="H178" s="30">
        <f t="shared" si="72"/>
        <v>383664</v>
      </c>
      <c r="I178" s="30">
        <f t="shared" si="72"/>
        <v>579567</v>
      </c>
      <c r="J178" s="30">
        <f t="shared" si="72"/>
        <v>543128</v>
      </c>
    </row>
    <row r="179" spans="1:10" ht="15.75" x14ac:dyDescent="0.25">
      <c r="A179" s="3" t="s">
        <v>121</v>
      </c>
      <c r="B179" s="30">
        <f t="shared" ref="B179:J179" si="73">B176-(B177+B178)</f>
        <v>338637</v>
      </c>
      <c r="C179" s="30">
        <f t="shared" si="73"/>
        <v>344250</v>
      </c>
      <c r="D179" s="30">
        <f t="shared" si="73"/>
        <v>371533</v>
      </c>
      <c r="E179" s="30">
        <f t="shared" si="73"/>
        <v>314360</v>
      </c>
      <c r="F179" s="30">
        <f t="shared" si="73"/>
        <v>332792</v>
      </c>
      <c r="G179" s="30">
        <f t="shared" si="73"/>
        <v>359249</v>
      </c>
      <c r="H179" s="30">
        <f t="shared" si="73"/>
        <v>444786</v>
      </c>
      <c r="I179" s="30">
        <f t="shared" si="73"/>
        <v>480106</v>
      </c>
      <c r="J179" s="30">
        <f t="shared" si="73"/>
        <v>441000</v>
      </c>
    </row>
    <row r="180" spans="1:10" ht="15.75" x14ac:dyDescent="0.25">
      <c r="A180" s="3" t="s">
        <v>122</v>
      </c>
      <c r="B180" s="30">
        <f t="shared" ref="B180:J180" si="74">B53</f>
        <v>130687</v>
      </c>
      <c r="C180" s="30">
        <f t="shared" si="74"/>
        <v>127474</v>
      </c>
      <c r="D180" s="30">
        <f t="shared" si="74"/>
        <v>154683</v>
      </c>
      <c r="E180" s="30">
        <f t="shared" si="74"/>
        <v>75767</v>
      </c>
      <c r="F180" s="30">
        <f t="shared" si="74"/>
        <v>84902</v>
      </c>
      <c r="G180" s="30">
        <f t="shared" si="74"/>
        <v>82282</v>
      </c>
      <c r="H180" s="30">
        <f t="shared" si="74"/>
        <v>140930</v>
      </c>
      <c r="I180" s="30">
        <f t="shared" si="74"/>
        <v>90952</v>
      </c>
      <c r="J180" s="30">
        <f t="shared" si="74"/>
        <v>5575</v>
      </c>
    </row>
    <row r="181" spans="1:10" ht="15.75" x14ac:dyDescent="0.25">
      <c r="A181" s="3" t="s">
        <v>113</v>
      </c>
      <c r="B181" s="4">
        <f t="shared" ref="B181:J181" si="75">B179+3*B180</f>
        <v>730698</v>
      </c>
      <c r="C181" s="4">
        <f t="shared" si="75"/>
        <v>726672</v>
      </c>
      <c r="D181" s="4">
        <f t="shared" si="75"/>
        <v>835582</v>
      </c>
      <c r="E181" s="4">
        <f t="shared" si="75"/>
        <v>541661</v>
      </c>
      <c r="F181" s="4">
        <f t="shared" si="75"/>
        <v>587498</v>
      </c>
      <c r="G181" s="4">
        <f t="shared" si="75"/>
        <v>606095</v>
      </c>
      <c r="H181" s="4">
        <f t="shared" si="75"/>
        <v>867576</v>
      </c>
      <c r="I181" s="4">
        <f t="shared" si="75"/>
        <v>752962</v>
      </c>
      <c r="J181" s="4">
        <f t="shared" si="75"/>
        <v>457725</v>
      </c>
    </row>
    <row r="182" spans="1:10" ht="15.75" x14ac:dyDescent="0.25">
      <c r="C182" s="12"/>
      <c r="D182" s="12"/>
      <c r="E182" s="12"/>
      <c r="F182" s="12"/>
      <c r="G182" s="12"/>
      <c r="H182" s="12"/>
      <c r="I182" s="12"/>
      <c r="J182" s="12"/>
    </row>
    <row r="185" spans="1:10" ht="15.75" x14ac:dyDescent="0.25">
      <c r="A185" s="9" t="s">
        <v>123</v>
      </c>
    </row>
    <row r="186" spans="1:10" x14ac:dyDescent="0.25">
      <c r="A186" s="31"/>
      <c r="B186" s="32">
        <v>2005</v>
      </c>
      <c r="C186" s="32">
        <v>2006</v>
      </c>
      <c r="D186" s="32">
        <v>2007</v>
      </c>
      <c r="E186" s="32">
        <v>2008</v>
      </c>
      <c r="F186" s="32">
        <v>2009</v>
      </c>
      <c r="G186" s="32">
        <v>2010</v>
      </c>
      <c r="H186" s="32">
        <v>2011</v>
      </c>
      <c r="I186" s="32">
        <v>2012</v>
      </c>
      <c r="J186" s="32">
        <v>2013</v>
      </c>
    </row>
    <row r="187" spans="1:10" x14ac:dyDescent="0.25">
      <c r="A187" s="31"/>
      <c r="B187" s="32"/>
      <c r="C187" s="32"/>
      <c r="D187" s="32"/>
      <c r="E187" s="32"/>
      <c r="F187" s="32"/>
      <c r="G187" s="32"/>
      <c r="H187" s="32"/>
      <c r="I187" s="32"/>
      <c r="J187" s="32"/>
    </row>
    <row r="188" spans="1:10" x14ac:dyDescent="0.25">
      <c r="A188" s="31" t="s">
        <v>124</v>
      </c>
      <c r="B188" s="33">
        <f t="shared" ref="B188:J188" si="76">B21</f>
        <v>573407</v>
      </c>
      <c r="C188" s="33">
        <f t="shared" si="76"/>
        <v>471561</v>
      </c>
      <c r="D188" s="33">
        <f t="shared" si="76"/>
        <v>708648</v>
      </c>
      <c r="E188" s="33">
        <f t="shared" si="76"/>
        <v>594734</v>
      </c>
      <c r="F188" s="33">
        <f t="shared" si="76"/>
        <v>819790</v>
      </c>
      <c r="G188" s="33">
        <f t="shared" si="76"/>
        <v>1340442</v>
      </c>
      <c r="H188" s="33">
        <f t="shared" si="76"/>
        <v>1203864</v>
      </c>
      <c r="I188" s="33">
        <f t="shared" si="76"/>
        <v>1018651</v>
      </c>
      <c r="J188" s="33">
        <f t="shared" si="76"/>
        <v>871628</v>
      </c>
    </row>
    <row r="189" spans="1:10" x14ac:dyDescent="0.25">
      <c r="A189" s="31" t="s">
        <v>125</v>
      </c>
      <c r="B189" s="33">
        <f t="shared" ref="B189:J189" si="77">B25</f>
        <v>391117</v>
      </c>
      <c r="C189" s="33">
        <f t="shared" si="77"/>
        <v>358346</v>
      </c>
      <c r="D189" s="33">
        <f t="shared" si="77"/>
        <v>316361</v>
      </c>
      <c r="E189" s="33">
        <f t="shared" si="77"/>
        <v>297339</v>
      </c>
      <c r="F189" s="33">
        <f t="shared" si="77"/>
        <v>260045</v>
      </c>
      <c r="G189" s="33">
        <f t="shared" si="77"/>
        <v>185359</v>
      </c>
      <c r="H189" s="33">
        <f t="shared" si="77"/>
        <v>383664</v>
      </c>
      <c r="I189" s="33">
        <f t="shared" si="77"/>
        <v>579567</v>
      </c>
      <c r="J189" s="33">
        <f t="shared" si="77"/>
        <v>543128</v>
      </c>
    </row>
    <row r="190" spans="1:10" x14ac:dyDescent="0.25">
      <c r="A190" s="31" t="s">
        <v>126</v>
      </c>
      <c r="B190" s="33">
        <f t="shared" ref="B190:J190" si="78">B188+B189</f>
        <v>964524</v>
      </c>
      <c r="C190" s="33">
        <f t="shared" si="78"/>
        <v>829907</v>
      </c>
      <c r="D190" s="33">
        <f t="shared" si="78"/>
        <v>1025009</v>
      </c>
      <c r="E190" s="33">
        <f t="shared" si="78"/>
        <v>892073</v>
      </c>
      <c r="F190" s="33">
        <f t="shared" si="78"/>
        <v>1079835</v>
      </c>
      <c r="G190" s="33">
        <f t="shared" si="78"/>
        <v>1525801</v>
      </c>
      <c r="H190" s="33">
        <f t="shared" si="78"/>
        <v>1587528</v>
      </c>
      <c r="I190" s="33">
        <f t="shared" si="78"/>
        <v>1598218</v>
      </c>
      <c r="J190" s="33">
        <f t="shared" si="78"/>
        <v>1414756</v>
      </c>
    </row>
    <row r="191" spans="1:10" x14ac:dyDescent="0.25">
      <c r="A191" s="31" t="s">
        <v>127</v>
      </c>
      <c r="B191" s="33"/>
      <c r="C191" s="33"/>
      <c r="D191" s="33"/>
      <c r="E191" s="33"/>
      <c r="F191" s="33"/>
      <c r="G191" s="33"/>
      <c r="H191" s="33"/>
      <c r="I191" s="33"/>
      <c r="J191" s="33"/>
    </row>
    <row r="192" spans="1:10" x14ac:dyDescent="0.25">
      <c r="A192" s="31" t="s">
        <v>128</v>
      </c>
      <c r="B192" s="33">
        <f t="shared" ref="B192:J192" si="79">B34</f>
        <v>338637</v>
      </c>
      <c r="C192" s="33">
        <f t="shared" si="79"/>
        <v>344250</v>
      </c>
      <c r="D192" s="33">
        <f t="shared" si="79"/>
        <v>371533</v>
      </c>
      <c r="E192" s="33">
        <f t="shared" si="79"/>
        <v>314360</v>
      </c>
      <c r="F192" s="33">
        <f t="shared" si="79"/>
        <v>332792</v>
      </c>
      <c r="G192" s="33">
        <f t="shared" si="79"/>
        <v>359249</v>
      </c>
      <c r="H192" s="33">
        <f t="shared" si="79"/>
        <v>444786</v>
      </c>
      <c r="I192" s="33">
        <f t="shared" si="79"/>
        <v>480106</v>
      </c>
      <c r="J192" s="33">
        <f t="shared" si="79"/>
        <v>441000</v>
      </c>
    </row>
    <row r="193" spans="1:10" x14ac:dyDescent="0.25">
      <c r="A193" s="31" t="s">
        <v>129</v>
      </c>
      <c r="B193" s="34"/>
      <c r="C193" s="34"/>
      <c r="D193" s="34"/>
      <c r="E193" s="34"/>
      <c r="F193" s="34"/>
      <c r="G193" s="34"/>
      <c r="H193" s="34"/>
      <c r="I193" s="34"/>
      <c r="J193" s="34"/>
    </row>
    <row r="194" spans="1:10" x14ac:dyDescent="0.25">
      <c r="A194" s="31" t="s">
        <v>125</v>
      </c>
      <c r="B194" s="35">
        <f t="shared" ref="B194:J194" si="80">B189</f>
        <v>391117</v>
      </c>
      <c r="C194" s="35">
        <f t="shared" si="80"/>
        <v>358346</v>
      </c>
      <c r="D194" s="35">
        <f t="shared" si="80"/>
        <v>316361</v>
      </c>
      <c r="E194" s="35">
        <f t="shared" si="80"/>
        <v>297339</v>
      </c>
      <c r="F194" s="35">
        <f t="shared" si="80"/>
        <v>260045</v>
      </c>
      <c r="G194" s="35">
        <f t="shared" si="80"/>
        <v>185359</v>
      </c>
      <c r="H194" s="35">
        <f t="shared" si="80"/>
        <v>383664</v>
      </c>
      <c r="I194" s="35">
        <f t="shared" si="80"/>
        <v>579567</v>
      </c>
      <c r="J194" s="35">
        <f t="shared" si="80"/>
        <v>543128</v>
      </c>
    </row>
    <row r="195" spans="1:10" ht="15.75" x14ac:dyDescent="0.25">
      <c r="A195" s="6" t="s">
        <v>130</v>
      </c>
      <c r="B195" s="35">
        <f t="shared" ref="B195:J195" si="81">-B82</f>
        <v>94043</v>
      </c>
      <c r="C195" s="35">
        <f t="shared" si="81"/>
        <v>122201</v>
      </c>
      <c r="D195" s="35">
        <f t="shared" si="81"/>
        <v>127587</v>
      </c>
      <c r="E195" s="35">
        <f t="shared" si="81"/>
        <v>133127</v>
      </c>
      <c r="F195" s="35">
        <f t="shared" si="81"/>
        <v>66675</v>
      </c>
      <c r="G195" s="35">
        <f t="shared" si="81"/>
        <v>55605</v>
      </c>
      <c r="H195" s="35">
        <f t="shared" si="81"/>
        <v>27917</v>
      </c>
      <c r="I195" s="35">
        <f t="shared" si="81"/>
        <v>44321</v>
      </c>
      <c r="J195" s="35">
        <f t="shared" si="81"/>
        <v>33252</v>
      </c>
    </row>
    <row r="196" spans="1:10" ht="15.75" x14ac:dyDescent="0.25">
      <c r="A196" s="31" t="s">
        <v>131</v>
      </c>
      <c r="B196" s="7">
        <v>409000.97</v>
      </c>
      <c r="C196" s="35">
        <f>(B194+C194)/2</f>
        <v>374731.5</v>
      </c>
      <c r="D196" s="35">
        <f t="shared" ref="D196:J196" si="82">(C194+D194)/2</f>
        <v>337353.5</v>
      </c>
      <c r="E196" s="35">
        <f t="shared" si="82"/>
        <v>306850</v>
      </c>
      <c r="F196" s="35">
        <f t="shared" si="82"/>
        <v>278692</v>
      </c>
      <c r="G196" s="35">
        <f t="shared" si="82"/>
        <v>222702</v>
      </c>
      <c r="H196" s="35">
        <f t="shared" si="82"/>
        <v>284511.5</v>
      </c>
      <c r="I196" s="35">
        <f t="shared" si="82"/>
        <v>481615.5</v>
      </c>
      <c r="J196" s="35">
        <f t="shared" si="82"/>
        <v>561347.5</v>
      </c>
    </row>
    <row r="197" spans="1:10" x14ac:dyDescent="0.25">
      <c r="A197" s="31" t="s">
        <v>132</v>
      </c>
      <c r="B197" s="36">
        <v>4.4999999999999998E-2</v>
      </c>
      <c r="C197" s="36">
        <v>4.7800000000000002E-2</v>
      </c>
      <c r="D197" s="36">
        <v>5.3600000000000002E-2</v>
      </c>
      <c r="E197" s="36">
        <v>4.7E-2</v>
      </c>
      <c r="F197" s="36">
        <v>2.1999999999999999E-2</v>
      </c>
      <c r="G197" s="36">
        <v>3.2099999999999997E-2</v>
      </c>
      <c r="H197" s="36">
        <v>5.16E-2</v>
      </c>
      <c r="I197" s="36">
        <v>5.74E-2</v>
      </c>
      <c r="J197" s="36">
        <v>6.2799999999999995E-2</v>
      </c>
    </row>
    <row r="198" spans="1:10" x14ac:dyDescent="0.25">
      <c r="A198" s="31" t="s">
        <v>133</v>
      </c>
      <c r="B198" s="36">
        <f t="shared" ref="B198:J198" si="83">B170</f>
        <v>7.1370000000000003E-2</v>
      </c>
      <c r="C198" s="36">
        <f t="shared" si="83"/>
        <v>7.3179500000000008E-2</v>
      </c>
      <c r="D198" s="36">
        <f t="shared" si="83"/>
        <v>0.23241550000000002</v>
      </c>
      <c r="E198" s="36">
        <f t="shared" si="83"/>
        <v>7.7145000000000005E-2</v>
      </c>
      <c r="F198" s="36">
        <f t="shared" si="83"/>
        <v>7.8761999999999999E-2</v>
      </c>
      <c r="G198" s="36">
        <f t="shared" si="83"/>
        <v>0.1042105</v>
      </c>
      <c r="H198" s="36">
        <f t="shared" si="83"/>
        <v>0.12661749999999999</v>
      </c>
      <c r="I198" s="36">
        <f t="shared" si="83"/>
        <v>0.108946</v>
      </c>
      <c r="J198" s="36">
        <f t="shared" si="83"/>
        <v>9.0966500000000006E-2</v>
      </c>
    </row>
    <row r="199" spans="1:10" x14ac:dyDescent="0.25">
      <c r="A199" s="31" t="s">
        <v>134</v>
      </c>
      <c r="B199" s="33">
        <f t="shared" ref="B199:J199" si="84">B190</f>
        <v>964524</v>
      </c>
      <c r="C199" s="33">
        <f t="shared" si="84"/>
        <v>829907</v>
      </c>
      <c r="D199" s="33">
        <f t="shared" si="84"/>
        <v>1025009</v>
      </c>
      <c r="E199" s="33">
        <f t="shared" si="84"/>
        <v>892073</v>
      </c>
      <c r="F199" s="33">
        <f t="shared" si="84"/>
        <v>1079835</v>
      </c>
      <c r="G199" s="33">
        <f t="shared" si="84"/>
        <v>1525801</v>
      </c>
      <c r="H199" s="33">
        <f t="shared" si="84"/>
        <v>1587528</v>
      </c>
      <c r="I199" s="33">
        <f t="shared" si="84"/>
        <v>1598218</v>
      </c>
      <c r="J199" s="33">
        <f t="shared" si="84"/>
        <v>1414756</v>
      </c>
    </row>
    <row r="200" spans="1:10" x14ac:dyDescent="0.25">
      <c r="A200" s="31" t="s">
        <v>135</v>
      </c>
      <c r="B200" s="33">
        <f t="shared" ref="B200:J200" si="85">B192</f>
        <v>338637</v>
      </c>
      <c r="C200" s="33">
        <f t="shared" si="85"/>
        <v>344250</v>
      </c>
      <c r="D200" s="33">
        <f t="shared" si="85"/>
        <v>371533</v>
      </c>
      <c r="E200" s="33">
        <f t="shared" si="85"/>
        <v>314360</v>
      </c>
      <c r="F200" s="33">
        <f t="shared" si="85"/>
        <v>332792</v>
      </c>
      <c r="G200" s="33">
        <f t="shared" si="85"/>
        <v>359249</v>
      </c>
      <c r="H200" s="33">
        <f t="shared" si="85"/>
        <v>444786</v>
      </c>
      <c r="I200" s="33">
        <f t="shared" si="85"/>
        <v>480106</v>
      </c>
      <c r="J200" s="33">
        <f t="shared" si="85"/>
        <v>441000</v>
      </c>
    </row>
    <row r="201" spans="1:10" x14ac:dyDescent="0.25">
      <c r="A201" s="31" t="s">
        <v>136</v>
      </c>
      <c r="B201" s="33">
        <f t="shared" ref="B201:J201" si="86">B199+B200</f>
        <v>1303161</v>
      </c>
      <c r="C201" s="33">
        <f t="shared" si="86"/>
        <v>1174157</v>
      </c>
      <c r="D201" s="33">
        <f t="shared" si="86"/>
        <v>1396542</v>
      </c>
      <c r="E201" s="33">
        <f t="shared" si="86"/>
        <v>1206433</v>
      </c>
      <c r="F201" s="33">
        <f t="shared" si="86"/>
        <v>1412627</v>
      </c>
      <c r="G201" s="33">
        <f t="shared" si="86"/>
        <v>1885050</v>
      </c>
      <c r="H201" s="33">
        <f t="shared" si="86"/>
        <v>2032314</v>
      </c>
      <c r="I201" s="33">
        <f t="shared" si="86"/>
        <v>2078324</v>
      </c>
      <c r="J201" s="33">
        <f t="shared" si="86"/>
        <v>1855756</v>
      </c>
    </row>
    <row r="202" spans="1:10" x14ac:dyDescent="0.25">
      <c r="A202" s="31" t="s">
        <v>137</v>
      </c>
      <c r="B202" s="37">
        <f t="shared" ref="B202:I202" si="87">B199/B201</f>
        <v>0.74014185507393182</v>
      </c>
      <c r="C202" s="37">
        <f t="shared" si="87"/>
        <v>0.70681092903248888</v>
      </c>
      <c r="D202" s="37">
        <f t="shared" si="87"/>
        <v>0.73396217227981686</v>
      </c>
      <c r="E202" s="37">
        <f t="shared" si="87"/>
        <v>0.7394302045782899</v>
      </c>
      <c r="F202" s="37">
        <f t="shared" si="87"/>
        <v>0.76441622593933145</v>
      </c>
      <c r="G202" s="37">
        <f t="shared" si="87"/>
        <v>0.80942203124585554</v>
      </c>
      <c r="H202" s="37">
        <f t="shared" si="87"/>
        <v>0.78114307139546346</v>
      </c>
      <c r="I202" s="37">
        <f t="shared" si="87"/>
        <v>0.76899366989939966</v>
      </c>
      <c r="J202" s="37">
        <f>J199/J201</f>
        <v>0.76236100004526453</v>
      </c>
    </row>
    <row r="203" spans="1:10" x14ac:dyDescent="0.25">
      <c r="A203" s="31" t="s">
        <v>138</v>
      </c>
      <c r="B203" s="37">
        <f t="shared" ref="B203:J203" si="88">B200/B201</f>
        <v>0.25985814492606824</v>
      </c>
      <c r="C203" s="37">
        <f t="shared" si="88"/>
        <v>0.29318907096751118</v>
      </c>
      <c r="D203" s="37">
        <f t="shared" si="88"/>
        <v>0.26603782772018314</v>
      </c>
      <c r="E203" s="37">
        <f t="shared" si="88"/>
        <v>0.2605697954217101</v>
      </c>
      <c r="F203" s="37">
        <f t="shared" si="88"/>
        <v>0.23558377406066852</v>
      </c>
      <c r="G203" s="37">
        <f t="shared" si="88"/>
        <v>0.19057796875414446</v>
      </c>
      <c r="H203" s="37">
        <f t="shared" si="88"/>
        <v>0.21885692860453651</v>
      </c>
      <c r="I203" s="37">
        <f t="shared" si="88"/>
        <v>0.23100633010060029</v>
      </c>
      <c r="J203" s="37">
        <f t="shared" si="88"/>
        <v>0.23763899995473542</v>
      </c>
    </row>
    <row r="204" spans="1:10" x14ac:dyDescent="0.25">
      <c r="A204" s="31" t="s">
        <v>139</v>
      </c>
      <c r="B204" s="36">
        <v>0.35</v>
      </c>
      <c r="C204" s="36">
        <v>0.35</v>
      </c>
      <c r="D204" s="36">
        <v>0.35</v>
      </c>
      <c r="E204" s="36">
        <v>0.35</v>
      </c>
      <c r="F204" s="36">
        <v>0.35</v>
      </c>
      <c r="G204" s="36">
        <v>0.35</v>
      </c>
      <c r="H204" s="36">
        <v>0.35</v>
      </c>
      <c r="I204" s="36">
        <v>0.35</v>
      </c>
      <c r="J204" s="36">
        <v>0.35</v>
      </c>
    </row>
    <row r="205" spans="1:10" x14ac:dyDescent="0.25">
      <c r="A205" s="31" t="s">
        <v>140</v>
      </c>
      <c r="B205" s="36">
        <f>B197*B202*(1-B204)+B198*B203</f>
        <v>4.0195225064285994E-2</v>
      </c>
      <c r="C205" s="36">
        <f t="shared" ref="C205:J205" si="89">C197*C202*(1-C204)+C198*C203</f>
        <v>4.3416045183906418E-2</v>
      </c>
      <c r="D205" s="36">
        <f t="shared" si="89"/>
        <v>8.7402556830729047E-2</v>
      </c>
      <c r="E205" s="36">
        <f t="shared" si="89"/>
        <v>4.2691249617674586E-2</v>
      </c>
      <c r="F205" s="36">
        <f t="shared" si="89"/>
        <v>2.9486201243498815E-2</v>
      </c>
      <c r="G205" s="36">
        <f t="shared" si="89"/>
        <v>3.6748816094798548E-2</v>
      </c>
      <c r="H205" s="36">
        <f t="shared" si="89"/>
        <v>5.3910655772188745E-2</v>
      </c>
      <c r="I205" s="36">
        <f t="shared" si="89"/>
        <v>5.38583694630866E-2</v>
      </c>
      <c r="J205" s="36">
        <f t="shared" si="89"/>
        <v>5.2736764111230142E-2</v>
      </c>
    </row>
    <row r="207" spans="1:10" ht="15.75" x14ac:dyDescent="0.25">
      <c r="A207" s="9" t="s">
        <v>141</v>
      </c>
    </row>
    <row r="208" spans="1:10" ht="15.75" x14ac:dyDescent="0.25">
      <c r="A208" s="3"/>
      <c r="B208" s="22">
        <v>2005</v>
      </c>
      <c r="C208" s="22">
        <v>2006</v>
      </c>
      <c r="D208" s="22">
        <v>2007</v>
      </c>
      <c r="E208" s="22">
        <v>2008</v>
      </c>
      <c r="F208" s="22">
        <v>2009</v>
      </c>
      <c r="G208" s="22">
        <v>2010</v>
      </c>
      <c r="H208" s="22">
        <v>2011</v>
      </c>
      <c r="I208" s="22">
        <v>2012</v>
      </c>
      <c r="J208" s="22">
        <v>2013</v>
      </c>
    </row>
    <row r="209" spans="1:11" ht="15.75" x14ac:dyDescent="0.25">
      <c r="A209" s="3" t="s">
        <v>142</v>
      </c>
      <c r="B209" s="38">
        <f t="shared" ref="B209:J209" si="90">B105</f>
        <v>0.10028461563843608</v>
      </c>
      <c r="C209" s="38">
        <f t="shared" si="90"/>
        <v>0.10856640125639075</v>
      </c>
      <c r="D209" s="38">
        <f t="shared" si="90"/>
        <v>0.11076143789445644</v>
      </c>
      <c r="E209" s="38">
        <f t="shared" si="90"/>
        <v>6.2802492968942331E-2</v>
      </c>
      <c r="F209" s="38">
        <f t="shared" si="90"/>
        <v>6.0102206739641818E-2</v>
      </c>
      <c r="G209" s="38">
        <f t="shared" si="90"/>
        <v>4.3649770563115038E-2</v>
      </c>
      <c r="H209" s="38">
        <f t="shared" si="90"/>
        <v>6.9344599308965055E-2</v>
      </c>
      <c r="I209" s="38">
        <f t="shared" si="90"/>
        <v>4.3762185299308483E-2</v>
      </c>
      <c r="J209" s="38">
        <f t="shared" si="90"/>
        <v>3.0041664960264174E-3</v>
      </c>
    </row>
    <row r="210" spans="1:11" ht="15.75" x14ac:dyDescent="0.25">
      <c r="A210" s="3" t="s">
        <v>140</v>
      </c>
      <c r="B210" s="38">
        <f t="shared" ref="B210:J210" si="91">B205</f>
        <v>4.0195225064285994E-2</v>
      </c>
      <c r="C210" s="38">
        <f t="shared" si="91"/>
        <v>4.3416045183906418E-2</v>
      </c>
      <c r="D210" s="38">
        <f t="shared" si="91"/>
        <v>8.7402556830729047E-2</v>
      </c>
      <c r="E210" s="38">
        <f t="shared" si="91"/>
        <v>4.2691249617674586E-2</v>
      </c>
      <c r="F210" s="38">
        <f t="shared" si="91"/>
        <v>2.9486201243498815E-2</v>
      </c>
      <c r="G210" s="38">
        <f t="shared" si="91"/>
        <v>3.6748816094798548E-2</v>
      </c>
      <c r="H210" s="38">
        <f t="shared" si="91"/>
        <v>5.3910655772188745E-2</v>
      </c>
      <c r="I210" s="38">
        <f t="shared" si="91"/>
        <v>5.38583694630866E-2</v>
      </c>
      <c r="J210" s="38">
        <f t="shared" si="91"/>
        <v>5.2736764111230142E-2</v>
      </c>
    </row>
    <row r="211" spans="1:11" ht="16.5" customHeight="1" x14ac:dyDescent="0.25"/>
    <row r="212" spans="1:11" ht="15.75" x14ac:dyDescent="0.25">
      <c r="A212" s="9" t="s">
        <v>143</v>
      </c>
    </row>
    <row r="214" spans="1:11" ht="15.75" x14ac:dyDescent="0.25">
      <c r="A214" s="3"/>
      <c r="B214" s="22">
        <v>2005</v>
      </c>
      <c r="C214" s="22">
        <v>2006</v>
      </c>
      <c r="D214" s="22">
        <v>2007</v>
      </c>
      <c r="E214" s="22">
        <v>2008</v>
      </c>
      <c r="F214" s="22">
        <v>2009</v>
      </c>
      <c r="G214" s="22">
        <v>2010</v>
      </c>
      <c r="H214" s="22">
        <v>2011</v>
      </c>
      <c r="I214" s="22">
        <v>2012</v>
      </c>
      <c r="J214" s="22">
        <v>2013</v>
      </c>
      <c r="K214" s="39" t="s">
        <v>144</v>
      </c>
    </row>
    <row r="215" spans="1:11" ht="15.75" x14ac:dyDescent="0.25">
      <c r="A215" s="3" t="s">
        <v>145</v>
      </c>
      <c r="B215" s="7">
        <f t="shared" ref="B215:J215" si="92">B162</f>
        <v>1.18</v>
      </c>
      <c r="C215" s="7">
        <f t="shared" si="92"/>
        <v>1.1499999999999999</v>
      </c>
      <c r="D215" s="7">
        <f t="shared" si="92"/>
        <v>1.4</v>
      </c>
      <c r="E215" s="7">
        <f t="shared" si="92"/>
        <v>0.68</v>
      </c>
      <c r="F215" s="7">
        <f t="shared" si="92"/>
        <v>0.77</v>
      </c>
      <c r="G215" s="7">
        <f t="shared" si="92"/>
        <v>0.74</v>
      </c>
      <c r="H215" s="7">
        <f t="shared" si="92"/>
        <v>1.27</v>
      </c>
      <c r="I215" s="7">
        <f t="shared" si="92"/>
        <v>0.82</v>
      </c>
      <c r="J215" s="7">
        <f t="shared" si="92"/>
        <v>0.05</v>
      </c>
      <c r="K215" s="40"/>
    </row>
    <row r="216" spans="1:11" ht="15.75" x14ac:dyDescent="0.25">
      <c r="A216" s="3" t="s">
        <v>146</v>
      </c>
      <c r="B216" s="7">
        <f t="shared" ref="B216:J216" si="93">B169</f>
        <v>1.1000000000000001</v>
      </c>
      <c r="C216" s="7">
        <f>C169</f>
        <v>1.1000000000000001</v>
      </c>
      <c r="D216" s="7">
        <f t="shared" si="93"/>
        <v>1.2</v>
      </c>
      <c r="E216" s="7">
        <f t="shared" si="93"/>
        <v>0.6</v>
      </c>
      <c r="F216" s="7">
        <f t="shared" si="93"/>
        <v>0.7</v>
      </c>
      <c r="G216" s="7">
        <f t="shared" si="93"/>
        <v>0.2</v>
      </c>
      <c r="H216" s="7">
        <f t="shared" si="93"/>
        <v>0.4</v>
      </c>
      <c r="I216" s="7">
        <f t="shared" si="93"/>
        <v>0.3</v>
      </c>
      <c r="J216" s="7">
        <f t="shared" si="93"/>
        <v>0.2</v>
      </c>
      <c r="K216" s="41">
        <f>J216*(1+K219)</f>
        <v>0.21377083697506058</v>
      </c>
    </row>
    <row r="217" spans="1:11" ht="15.75" x14ac:dyDescent="0.25">
      <c r="A217" s="3" t="s">
        <v>147</v>
      </c>
      <c r="B217" s="42">
        <f t="shared" ref="B217:H217" si="94">1-(B216/B215)</f>
        <v>6.7796610169491456E-2</v>
      </c>
      <c r="C217" s="42">
        <f t="shared" si="94"/>
        <v>4.3478260869565077E-2</v>
      </c>
      <c r="D217" s="42">
        <f t="shared" si="94"/>
        <v>0.14285714285714279</v>
      </c>
      <c r="E217" s="42">
        <f t="shared" si="94"/>
        <v>0.11764705882352955</v>
      </c>
      <c r="F217" s="42">
        <f t="shared" si="94"/>
        <v>9.0909090909090939E-2</v>
      </c>
      <c r="G217" s="42">
        <f t="shared" si="94"/>
        <v>0.72972972972972971</v>
      </c>
      <c r="H217" s="42">
        <f t="shared" si="94"/>
        <v>0.68503937007874016</v>
      </c>
      <c r="I217" s="42">
        <f>1-(I216/I215)</f>
        <v>0.63414634146341464</v>
      </c>
      <c r="J217" s="42">
        <f>1-(J216/J215)</f>
        <v>-3</v>
      </c>
      <c r="K217" s="40"/>
    </row>
    <row r="218" spans="1:11" ht="15.75" x14ac:dyDescent="0.25">
      <c r="A218" s="3" t="s">
        <v>70</v>
      </c>
      <c r="B218" s="7">
        <f>B106</f>
        <v>0.38592061706192765</v>
      </c>
      <c r="C218" s="7">
        <f t="shared" ref="C218:J218" si="95">C106</f>
        <v>0.37029484386347133</v>
      </c>
      <c r="D218" s="7">
        <f t="shared" si="95"/>
        <v>0.41633717597090969</v>
      </c>
      <c r="E218" s="7">
        <f t="shared" si="95"/>
        <v>0.24101984985367095</v>
      </c>
      <c r="F218" s="7">
        <f t="shared" si="95"/>
        <v>0.25512031539219693</v>
      </c>
      <c r="G218" s="7">
        <f t="shared" si="95"/>
        <v>0.22903891172974733</v>
      </c>
      <c r="H218" s="7">
        <f t="shared" si="95"/>
        <v>0.31684900154231471</v>
      </c>
      <c r="I218" s="7">
        <f t="shared" si="95"/>
        <v>0.18944149833578419</v>
      </c>
      <c r="J218" s="7">
        <f t="shared" si="95"/>
        <v>1.264172335600907E-2</v>
      </c>
      <c r="K218" s="40"/>
    </row>
    <row r="219" spans="1:11" ht="15.75" x14ac:dyDescent="0.25">
      <c r="A219" s="3" t="s">
        <v>148</v>
      </c>
      <c r="B219" s="7">
        <f t="shared" ref="B219:I219" si="96">B217*B218</f>
        <v>2.6164109631317101E-2</v>
      </c>
      <c r="C219" s="7">
        <f>C217*C218</f>
        <v>1.6099775820150874E-2</v>
      </c>
      <c r="D219" s="7">
        <f t="shared" si="96"/>
        <v>5.9476739424415642E-2</v>
      </c>
      <c r="E219" s="7">
        <f t="shared" si="96"/>
        <v>2.8355276453373084E-2</v>
      </c>
      <c r="F219" s="7">
        <f t="shared" si="96"/>
        <v>2.3192755944745184E-2</v>
      </c>
      <c r="G219" s="7">
        <f t="shared" si="96"/>
        <v>0.16713650315413994</v>
      </c>
      <c r="H219" s="7">
        <f t="shared" si="96"/>
        <v>0.21705404042662504</v>
      </c>
      <c r="I219" s="7">
        <f t="shared" si="96"/>
        <v>0.1201336330909851</v>
      </c>
      <c r="J219" s="7">
        <f>J217*J218</f>
        <v>-3.792517006802721E-2</v>
      </c>
      <c r="K219" s="41">
        <f>AVERAGE(B219:J219)</f>
        <v>6.885418487530276E-2</v>
      </c>
    </row>
    <row r="220" spans="1:11" ht="15.75" customHeight="1" x14ac:dyDescent="0.25">
      <c r="A220" s="3" t="s">
        <v>186</v>
      </c>
      <c r="B220" s="60">
        <f>K216/(J198-K219)</f>
        <v>9.6675013796407008</v>
      </c>
      <c r="C220" s="61"/>
      <c r="D220" s="61"/>
      <c r="E220" s="61"/>
      <c r="F220" s="61"/>
      <c r="G220" s="61"/>
      <c r="H220" s="61"/>
      <c r="I220" s="61"/>
      <c r="J220" s="61"/>
      <c r="K220" s="62"/>
    </row>
    <row r="221" spans="1:11" ht="15.75" x14ac:dyDescent="0.25">
      <c r="K221" s="17"/>
    </row>
    <row r="222" spans="1:11" ht="15.75" x14ac:dyDescent="0.25">
      <c r="K222" s="17"/>
    </row>
    <row r="223" spans="1:11" ht="15.75" x14ac:dyDescent="0.25">
      <c r="A223" s="9" t="s">
        <v>149</v>
      </c>
      <c r="K223" s="17"/>
    </row>
    <row r="224" spans="1:11" ht="15.75" x14ac:dyDescent="0.25">
      <c r="A224" s="3"/>
      <c r="B224" s="22">
        <v>2005</v>
      </c>
      <c r="C224" s="22">
        <v>2006</v>
      </c>
      <c r="D224" s="22">
        <v>2007</v>
      </c>
      <c r="E224" s="22">
        <v>2008</v>
      </c>
      <c r="F224" s="22">
        <v>2009</v>
      </c>
      <c r="G224" s="22">
        <v>2010</v>
      </c>
      <c r="H224" s="22">
        <v>2011</v>
      </c>
      <c r="I224" s="22">
        <v>2012</v>
      </c>
      <c r="J224" s="22">
        <v>2013</v>
      </c>
      <c r="K224" s="17"/>
    </row>
    <row r="225" spans="1:11" ht="15.75" x14ac:dyDescent="0.25">
      <c r="A225" s="3" t="s">
        <v>150</v>
      </c>
      <c r="B225" s="7">
        <v>18.760000000000002</v>
      </c>
      <c r="C225" s="7">
        <v>18.45</v>
      </c>
      <c r="D225" s="7">
        <v>14.93</v>
      </c>
      <c r="E225" s="7">
        <v>7.14</v>
      </c>
      <c r="F225" s="7">
        <v>9.94</v>
      </c>
      <c r="G225" s="7">
        <v>7</v>
      </c>
      <c r="H225" s="7">
        <v>5.76</v>
      </c>
      <c r="I225" s="7">
        <v>8.1999999999999993</v>
      </c>
      <c r="J225" s="7">
        <v>8.2200000000000006</v>
      </c>
      <c r="K225" s="17"/>
    </row>
    <row r="226" spans="1:11" ht="15.75" x14ac:dyDescent="0.25">
      <c r="A226" s="3" t="s">
        <v>151</v>
      </c>
      <c r="B226" s="7">
        <f t="shared" ref="B226:J226" si="97">B171</f>
        <v>110782980</v>
      </c>
      <c r="C226" s="7">
        <f t="shared" si="97"/>
        <v>110782980</v>
      </c>
      <c r="D226" s="7">
        <f t="shared" si="97"/>
        <v>110782980</v>
      </c>
      <c r="E226" s="7">
        <f t="shared" si="97"/>
        <v>110782980</v>
      </c>
      <c r="F226" s="7">
        <f t="shared" si="97"/>
        <v>110782980</v>
      </c>
      <c r="G226" s="7">
        <f t="shared" si="97"/>
        <v>110782980</v>
      </c>
      <c r="H226" s="7">
        <f t="shared" si="97"/>
        <v>110782980</v>
      </c>
      <c r="I226" s="7">
        <f t="shared" si="97"/>
        <v>110782980</v>
      </c>
      <c r="J226" s="7">
        <f t="shared" si="97"/>
        <v>110782980</v>
      </c>
      <c r="K226" s="17"/>
    </row>
    <row r="227" spans="1:11" ht="15.75" x14ac:dyDescent="0.25">
      <c r="A227" s="3" t="s">
        <v>152</v>
      </c>
      <c r="B227" s="7">
        <f t="shared" ref="B227:J227" si="98">B225*B226</f>
        <v>2078288704.8000002</v>
      </c>
      <c r="C227" s="7">
        <f t="shared" si="98"/>
        <v>2043945981</v>
      </c>
      <c r="D227" s="7">
        <f t="shared" si="98"/>
        <v>1653989891.3999999</v>
      </c>
      <c r="E227" s="7">
        <f t="shared" si="98"/>
        <v>790990477.19999993</v>
      </c>
      <c r="F227" s="7">
        <f t="shared" si="98"/>
        <v>1101182821.2</v>
      </c>
      <c r="G227" s="7">
        <f t="shared" si="98"/>
        <v>775480860</v>
      </c>
      <c r="H227" s="7">
        <f t="shared" si="98"/>
        <v>638109964.79999995</v>
      </c>
      <c r="I227" s="7">
        <f t="shared" si="98"/>
        <v>908420435.99999988</v>
      </c>
      <c r="J227" s="7">
        <f t="shared" si="98"/>
        <v>910636095.60000002</v>
      </c>
      <c r="K227" s="17"/>
    </row>
    <row r="228" spans="1:11" ht="15.75" x14ac:dyDescent="0.25">
      <c r="A228" s="3" t="s">
        <v>153</v>
      </c>
      <c r="B228" s="7">
        <f t="shared" ref="B228:J228" si="99">B155</f>
        <v>338637</v>
      </c>
      <c r="C228" s="7">
        <f t="shared" si="99"/>
        <v>344250</v>
      </c>
      <c r="D228" s="7">
        <f t="shared" si="99"/>
        <v>371533</v>
      </c>
      <c r="E228" s="7">
        <f t="shared" si="99"/>
        <v>314360</v>
      </c>
      <c r="F228" s="7">
        <f t="shared" si="99"/>
        <v>332792</v>
      </c>
      <c r="G228" s="7">
        <f t="shared" si="99"/>
        <v>359249</v>
      </c>
      <c r="H228" s="7">
        <f t="shared" si="99"/>
        <v>444786</v>
      </c>
      <c r="I228" s="7">
        <f t="shared" si="99"/>
        <v>480106</v>
      </c>
      <c r="J228" s="7">
        <f t="shared" si="99"/>
        <v>441000</v>
      </c>
      <c r="K228" s="17"/>
    </row>
    <row r="229" spans="1:11" ht="15.75" x14ac:dyDescent="0.25">
      <c r="A229" s="3" t="s">
        <v>154</v>
      </c>
      <c r="B229" s="7">
        <f t="shared" ref="B229:J229" si="100">B227-B228</f>
        <v>2077950067.8000002</v>
      </c>
      <c r="C229" s="7">
        <f t="shared" si="100"/>
        <v>2043601731</v>
      </c>
      <c r="D229" s="7">
        <f t="shared" si="100"/>
        <v>1653618358.3999999</v>
      </c>
      <c r="E229" s="7">
        <f t="shared" si="100"/>
        <v>790676117.19999993</v>
      </c>
      <c r="F229" s="7">
        <f t="shared" si="100"/>
        <v>1100850029.2</v>
      </c>
      <c r="G229" s="7">
        <f t="shared" si="100"/>
        <v>775121611</v>
      </c>
      <c r="H229" s="7">
        <f t="shared" si="100"/>
        <v>637665178.79999995</v>
      </c>
      <c r="I229" s="7">
        <f t="shared" si="100"/>
        <v>907940329.99999988</v>
      </c>
      <c r="J229" s="7">
        <f t="shared" si="100"/>
        <v>910195095.60000002</v>
      </c>
      <c r="K229" s="17"/>
    </row>
    <row r="230" spans="1:11" ht="15.75" x14ac:dyDescent="0.25">
      <c r="K230" s="17"/>
    </row>
    <row r="231" spans="1:11" ht="15.75" x14ac:dyDescent="0.25">
      <c r="A231" s="9" t="s">
        <v>155</v>
      </c>
      <c r="K231" s="17"/>
    </row>
    <row r="232" spans="1:11" ht="15.75" x14ac:dyDescent="0.25">
      <c r="A232" s="3"/>
      <c r="B232" s="22">
        <v>2005</v>
      </c>
      <c r="C232" s="22">
        <v>2006</v>
      </c>
      <c r="D232" s="22">
        <v>2007</v>
      </c>
      <c r="E232" s="22">
        <v>2008</v>
      </c>
      <c r="F232" s="22">
        <v>2009</v>
      </c>
      <c r="G232" s="22">
        <v>2010</v>
      </c>
      <c r="H232" s="22">
        <v>2011</v>
      </c>
      <c r="I232" s="22">
        <v>2012</v>
      </c>
      <c r="J232" s="22">
        <v>2013</v>
      </c>
      <c r="K232" s="17"/>
    </row>
    <row r="233" spans="1:11" ht="15.75" x14ac:dyDescent="0.25">
      <c r="A233" s="3" t="s">
        <v>156</v>
      </c>
      <c r="B233" s="7">
        <f t="shared" ref="B233:J233" si="101">B48</f>
        <v>196218</v>
      </c>
      <c r="C233" s="7">
        <f t="shared" si="101"/>
        <v>215332</v>
      </c>
      <c r="D233" s="7">
        <f t="shared" si="101"/>
        <v>240397</v>
      </c>
      <c r="E233" s="7">
        <f t="shared" si="101"/>
        <v>129668</v>
      </c>
      <c r="F233" s="7">
        <f t="shared" si="101"/>
        <v>146480</v>
      </c>
      <c r="G233" s="7">
        <f t="shared" si="101"/>
        <v>154316</v>
      </c>
      <c r="H233" s="7">
        <f t="shared" si="101"/>
        <v>227768</v>
      </c>
      <c r="I233" s="7">
        <f t="shared" si="101"/>
        <v>176914</v>
      </c>
      <c r="J233" s="7">
        <f t="shared" si="101"/>
        <v>78857</v>
      </c>
      <c r="K233" s="17"/>
    </row>
    <row r="234" spans="1:11" ht="15.75" x14ac:dyDescent="0.25">
      <c r="A234" s="3" t="s">
        <v>157</v>
      </c>
      <c r="B234" s="42">
        <f t="shared" ref="B234:J234" si="102">B204</f>
        <v>0.35</v>
      </c>
      <c r="C234" s="42">
        <f t="shared" si="102"/>
        <v>0.35</v>
      </c>
      <c r="D234" s="42">
        <f t="shared" si="102"/>
        <v>0.35</v>
      </c>
      <c r="E234" s="42">
        <f t="shared" si="102"/>
        <v>0.35</v>
      </c>
      <c r="F234" s="42">
        <f t="shared" si="102"/>
        <v>0.35</v>
      </c>
      <c r="G234" s="42">
        <f t="shared" si="102"/>
        <v>0.35</v>
      </c>
      <c r="H234" s="42">
        <f t="shared" si="102"/>
        <v>0.35</v>
      </c>
      <c r="I234" s="42">
        <f t="shared" si="102"/>
        <v>0.35</v>
      </c>
      <c r="J234" s="42">
        <f t="shared" si="102"/>
        <v>0.35</v>
      </c>
      <c r="K234" s="17"/>
    </row>
    <row r="235" spans="1:11" ht="15.75" x14ac:dyDescent="0.25">
      <c r="A235" s="3" t="s">
        <v>162</v>
      </c>
      <c r="B235" s="43">
        <f t="shared" ref="B235:J235" si="103">B233*(1-B234)</f>
        <v>127541.7</v>
      </c>
      <c r="C235" s="43">
        <f t="shared" si="103"/>
        <v>139965.80000000002</v>
      </c>
      <c r="D235" s="43">
        <f t="shared" si="103"/>
        <v>156258.05000000002</v>
      </c>
      <c r="E235" s="43">
        <f t="shared" si="103"/>
        <v>84284.2</v>
      </c>
      <c r="F235" s="43">
        <f t="shared" si="103"/>
        <v>95212</v>
      </c>
      <c r="G235" s="43">
        <f t="shared" si="103"/>
        <v>100305.40000000001</v>
      </c>
      <c r="H235" s="43">
        <f t="shared" si="103"/>
        <v>148049.20000000001</v>
      </c>
      <c r="I235" s="43">
        <f t="shared" si="103"/>
        <v>114994.1</v>
      </c>
      <c r="J235" s="43">
        <f t="shared" si="103"/>
        <v>51257.05</v>
      </c>
      <c r="K235" s="17"/>
    </row>
    <row r="236" spans="1:11" ht="15.75" x14ac:dyDescent="0.25">
      <c r="A236" s="3" t="s">
        <v>158</v>
      </c>
      <c r="B236" s="7">
        <f t="shared" ref="B236:J236" si="104">B15-B21</f>
        <v>-9686</v>
      </c>
      <c r="C236" s="7">
        <f t="shared" si="104"/>
        <v>-30179</v>
      </c>
      <c r="D236" s="7">
        <f t="shared" si="104"/>
        <v>-42937</v>
      </c>
      <c r="E236" s="7">
        <f t="shared" si="104"/>
        <v>-147448</v>
      </c>
      <c r="F236" s="7">
        <f t="shared" si="104"/>
        <v>-309764</v>
      </c>
      <c r="G236" s="7">
        <f t="shared" si="104"/>
        <v>-488655</v>
      </c>
      <c r="H236" s="7">
        <f t="shared" si="104"/>
        <v>-176591</v>
      </c>
      <c r="I236" s="7">
        <f t="shared" si="104"/>
        <v>56655</v>
      </c>
      <c r="J236" s="7">
        <f t="shared" si="104"/>
        <v>3368</v>
      </c>
      <c r="K236" s="17"/>
    </row>
    <row r="237" spans="1:11" ht="15.75" x14ac:dyDescent="0.25">
      <c r="A237" s="3" t="s">
        <v>159</v>
      </c>
      <c r="B237" s="7">
        <f t="shared" ref="B237:J237" si="105">B17-B236</f>
        <v>1312847</v>
      </c>
      <c r="C237" s="7">
        <f t="shared" si="105"/>
        <v>1204336</v>
      </c>
      <c r="D237" s="7">
        <f t="shared" si="105"/>
        <v>1439479</v>
      </c>
      <c r="E237" s="7">
        <f t="shared" si="105"/>
        <v>1353881</v>
      </c>
      <c r="F237" s="7">
        <f t="shared" si="105"/>
        <v>1722391</v>
      </c>
      <c r="G237" s="7">
        <f t="shared" si="105"/>
        <v>2373705</v>
      </c>
      <c r="H237" s="7">
        <f t="shared" si="105"/>
        <v>2208905</v>
      </c>
      <c r="I237" s="7">
        <f t="shared" si="105"/>
        <v>2021669</v>
      </c>
      <c r="J237" s="7">
        <f t="shared" si="105"/>
        <v>1852388</v>
      </c>
      <c r="K237" s="17"/>
    </row>
    <row r="238" spans="1:11" ht="15.75" x14ac:dyDescent="0.25">
      <c r="A238" s="3" t="s">
        <v>140</v>
      </c>
      <c r="B238" s="43">
        <f t="shared" ref="B238:J238" si="106">B205</f>
        <v>4.0195225064285994E-2</v>
      </c>
      <c r="C238" s="43">
        <f t="shared" si="106"/>
        <v>4.3416045183906418E-2</v>
      </c>
      <c r="D238" s="43">
        <f t="shared" si="106"/>
        <v>8.7402556830729047E-2</v>
      </c>
      <c r="E238" s="43">
        <f t="shared" si="106"/>
        <v>4.2691249617674586E-2</v>
      </c>
      <c r="F238" s="43">
        <f t="shared" si="106"/>
        <v>2.9486201243498815E-2</v>
      </c>
      <c r="G238" s="43">
        <f t="shared" si="106"/>
        <v>3.6748816094798548E-2</v>
      </c>
      <c r="H238" s="43">
        <f t="shared" si="106"/>
        <v>5.3910655772188745E-2</v>
      </c>
      <c r="I238" s="43">
        <f t="shared" si="106"/>
        <v>5.38583694630866E-2</v>
      </c>
      <c r="J238" s="43">
        <f t="shared" si="106"/>
        <v>5.2736764111230142E-2</v>
      </c>
      <c r="K238" s="17"/>
    </row>
    <row r="239" spans="1:11" ht="15.75" x14ac:dyDescent="0.25">
      <c r="A239" s="3" t="s">
        <v>160</v>
      </c>
      <c r="B239" s="43">
        <f t="shared" ref="B239:J239" si="107">B237*B238</f>
        <v>52770.180639972677</v>
      </c>
      <c r="C239" s="43">
        <f t="shared" si="107"/>
        <v>52287.50619260512</v>
      </c>
      <c r="D239" s="43">
        <f t="shared" si="107"/>
        <v>125814.14510414102</v>
      </c>
      <c r="E239" s="43">
        <f t="shared" si="107"/>
        <v>57798.871723626886</v>
      </c>
      <c r="F239" s="43">
        <f t="shared" si="107"/>
        <v>50786.767645991167</v>
      </c>
      <c r="G239" s="43">
        <f t="shared" si="107"/>
        <v>87230.848508303781</v>
      </c>
      <c r="H239" s="43">
        <f t="shared" si="107"/>
        <v>119083.51708846659</v>
      </c>
      <c r="I239" s="43">
        <f t="shared" si="107"/>
        <v>108883.79593406882</v>
      </c>
      <c r="J239" s="43">
        <f t="shared" si="107"/>
        <v>97688.948998473381</v>
      </c>
      <c r="K239" s="17"/>
    </row>
    <row r="240" spans="1:11" ht="15.75" x14ac:dyDescent="0.25">
      <c r="A240" s="3" t="s">
        <v>187</v>
      </c>
      <c r="B240" s="43">
        <f t="shared" ref="B240:J240" si="108">B235-B239</f>
        <v>74771.51936002732</v>
      </c>
      <c r="C240" s="43">
        <f t="shared" si="108"/>
        <v>87678.29380739489</v>
      </c>
      <c r="D240" s="43">
        <f t="shared" si="108"/>
        <v>30443.904895858999</v>
      </c>
      <c r="E240" s="43">
        <f t="shared" si="108"/>
        <v>26485.328276373111</v>
      </c>
      <c r="F240" s="43">
        <f t="shared" si="108"/>
        <v>44425.232354008833</v>
      </c>
      <c r="G240" s="43">
        <f t="shared" si="108"/>
        <v>13074.551491696227</v>
      </c>
      <c r="H240" s="43">
        <f t="shared" si="108"/>
        <v>28965.682911533426</v>
      </c>
      <c r="I240" s="43">
        <f t="shared" si="108"/>
        <v>6110.304065931181</v>
      </c>
      <c r="J240" s="43">
        <f t="shared" si="108"/>
        <v>-46431.898998473378</v>
      </c>
      <c r="K240" s="17"/>
    </row>
    <row r="241" spans="1:11" ht="15.75" x14ac:dyDescent="0.25">
      <c r="K241" s="17"/>
    </row>
    <row r="242" spans="1:11" ht="15.75" x14ac:dyDescent="0.25">
      <c r="A242" s="9" t="s">
        <v>161</v>
      </c>
      <c r="K242" s="17"/>
    </row>
    <row r="243" spans="1:11" ht="15.75" x14ac:dyDescent="0.25">
      <c r="A243" s="3"/>
      <c r="B243" s="22">
        <v>2005</v>
      </c>
      <c r="C243" s="22">
        <v>2006</v>
      </c>
      <c r="D243" s="22">
        <v>2007</v>
      </c>
      <c r="E243" s="22">
        <v>2008</v>
      </c>
      <c r="F243" s="22">
        <v>2009</v>
      </c>
      <c r="G243" s="22">
        <v>2010</v>
      </c>
      <c r="H243" s="22">
        <v>2011</v>
      </c>
      <c r="I243" s="22">
        <v>2012</v>
      </c>
      <c r="J243" s="22">
        <v>2013</v>
      </c>
      <c r="K243" s="41" t="s">
        <v>144</v>
      </c>
    </row>
    <row r="244" spans="1:11" ht="15.75" x14ac:dyDescent="0.25">
      <c r="A244" s="3" t="s">
        <v>162</v>
      </c>
      <c r="B244" s="43">
        <f t="shared" ref="B244:J244" si="109">B235</f>
        <v>127541.7</v>
      </c>
      <c r="C244" s="43">
        <f t="shared" si="109"/>
        <v>139965.80000000002</v>
      </c>
      <c r="D244" s="43">
        <f t="shared" si="109"/>
        <v>156258.05000000002</v>
      </c>
      <c r="E244" s="43">
        <f t="shared" si="109"/>
        <v>84284.2</v>
      </c>
      <c r="F244" s="43">
        <f t="shared" si="109"/>
        <v>95212</v>
      </c>
      <c r="G244" s="43">
        <f t="shared" si="109"/>
        <v>100305.40000000001</v>
      </c>
      <c r="H244" s="43">
        <f t="shared" si="109"/>
        <v>148049.20000000001</v>
      </c>
      <c r="I244" s="43">
        <f t="shared" si="109"/>
        <v>114994.1</v>
      </c>
      <c r="J244" s="43">
        <f t="shared" si="109"/>
        <v>51257.05</v>
      </c>
      <c r="K244" s="40"/>
    </row>
    <row r="245" spans="1:11" ht="15.75" x14ac:dyDescent="0.25">
      <c r="A245" s="3" t="s">
        <v>163</v>
      </c>
      <c r="B245" s="7">
        <f t="shared" ref="B245:J245" si="110">(B62+B63)</f>
        <v>22516</v>
      </c>
      <c r="C245" s="7">
        <f t="shared" si="110"/>
        <v>43272</v>
      </c>
      <c r="D245" s="7">
        <f t="shared" si="110"/>
        <v>45919</v>
      </c>
      <c r="E245" s="7">
        <f t="shared" si="110"/>
        <v>47849</v>
      </c>
      <c r="F245" s="7">
        <f t="shared" si="110"/>
        <v>50648</v>
      </c>
      <c r="G245" s="7">
        <f t="shared" si="110"/>
        <v>60707</v>
      </c>
      <c r="H245" s="7">
        <f t="shared" si="110"/>
        <v>71415</v>
      </c>
      <c r="I245" s="7">
        <f t="shared" si="110"/>
        <v>69602</v>
      </c>
      <c r="J245" s="7">
        <f t="shared" si="110"/>
        <v>72243</v>
      </c>
      <c r="K245" s="40"/>
    </row>
    <row r="246" spans="1:11" ht="15.75" x14ac:dyDescent="0.25">
      <c r="A246" s="3" t="s">
        <v>164</v>
      </c>
      <c r="B246" s="7">
        <f>(C246+D246+E246+F246+G246+H246+I246+J246)/8</f>
        <v>1631.75</v>
      </c>
      <c r="C246" s="7">
        <f t="shared" ref="C246:J246" si="111">C236-B236</f>
        <v>-20493</v>
      </c>
      <c r="D246" s="7">
        <f t="shared" si="111"/>
        <v>-12758</v>
      </c>
      <c r="E246" s="7">
        <f t="shared" si="111"/>
        <v>-104511</v>
      </c>
      <c r="F246" s="7">
        <f t="shared" si="111"/>
        <v>-162316</v>
      </c>
      <c r="G246" s="7">
        <f t="shared" si="111"/>
        <v>-178891</v>
      </c>
      <c r="H246" s="7">
        <f t="shared" si="111"/>
        <v>312064</v>
      </c>
      <c r="I246" s="7">
        <f>I236-H236</f>
        <v>233246</v>
      </c>
      <c r="J246" s="7">
        <f t="shared" si="111"/>
        <v>-53287</v>
      </c>
      <c r="K246" s="40"/>
    </row>
    <row r="247" spans="1:11" ht="15.75" x14ac:dyDescent="0.25">
      <c r="A247" s="3" t="s">
        <v>165</v>
      </c>
      <c r="B247" s="7">
        <f>(C247+D247+E247+F247+G247+H247+I247+J247)/8</f>
        <v>13751.875</v>
      </c>
      <c r="C247" s="7">
        <f>((C4+C5-(B4+B5)))</f>
        <v>-6896</v>
      </c>
      <c r="D247" s="7">
        <f t="shared" ref="D247:J247" si="112">((D4+D5-(C4+C5)))</f>
        <v>-3637</v>
      </c>
      <c r="E247" s="7">
        <f t="shared" si="112"/>
        <v>25556</v>
      </c>
      <c r="F247" s="7">
        <f t="shared" si="112"/>
        <v>140556</v>
      </c>
      <c r="G247" s="7">
        <f t="shared" si="112"/>
        <v>30358</v>
      </c>
      <c r="H247" s="7">
        <f t="shared" si="112"/>
        <v>-28546</v>
      </c>
      <c r="I247" s="45">
        <f>((I4+I5-(H4+H5)))</f>
        <v>-24345</v>
      </c>
      <c r="J247" s="7">
        <f t="shared" si="112"/>
        <v>-23031</v>
      </c>
      <c r="K247" s="40"/>
    </row>
    <row r="248" spans="1:11" ht="15.75" x14ac:dyDescent="0.25">
      <c r="A248" s="3" t="s">
        <v>166</v>
      </c>
      <c r="B248" s="43">
        <f>B244+B245-(B246+B247)</f>
        <v>134674.07500000001</v>
      </c>
      <c r="C248" s="43">
        <f>C244+C245-(C246+C247)</f>
        <v>210626.80000000002</v>
      </c>
      <c r="D248" s="43">
        <f t="shared" ref="D248:J248" si="113">D244+D245-(D246+D247)</f>
        <v>218572.05000000002</v>
      </c>
      <c r="E248" s="43">
        <f t="shared" si="113"/>
        <v>211088.2</v>
      </c>
      <c r="F248" s="43">
        <f t="shared" si="113"/>
        <v>167620</v>
      </c>
      <c r="G248" s="43">
        <f t="shared" si="113"/>
        <v>309545.40000000002</v>
      </c>
      <c r="H248" s="43">
        <f>-(H244+H245-(H246+H247))</f>
        <v>64053.799999999988</v>
      </c>
      <c r="I248" s="43">
        <f>-(I244+I245-(I246+I247))</f>
        <v>24304.899999999994</v>
      </c>
      <c r="J248" s="43">
        <f t="shared" si="113"/>
        <v>199818.05</v>
      </c>
      <c r="K248" s="52">
        <f>J248*(1+K249)</f>
        <v>209672.81652043722</v>
      </c>
    </row>
    <row r="249" spans="1:11" ht="15.75" x14ac:dyDescent="0.25">
      <c r="A249" s="3" t="s">
        <v>167</v>
      </c>
      <c r="B249" s="7">
        <f>(C249+D249+E249+F249+G249+H249+I249+J249)/8</f>
        <v>4.9318700289774753E-2</v>
      </c>
      <c r="C249" s="43">
        <f>LN(C248/B248)</f>
        <v>0.44723024690802199</v>
      </c>
      <c r="D249" s="43">
        <f t="shared" ref="D249:F249" si="114">LN(D248/C248)</f>
        <v>3.7027861400206474E-2</v>
      </c>
      <c r="E249" s="43">
        <f t="shared" si="114"/>
        <v>-3.4839652851264787E-2</v>
      </c>
      <c r="F249" s="43">
        <f t="shared" si="114"/>
        <v>-0.23057654294235619</v>
      </c>
      <c r="G249" s="43">
        <f>LN(G248/F248)</f>
        <v>0.61340525690301295</v>
      </c>
      <c r="H249" s="43">
        <f>LN(H248/G248)</f>
        <v>-1.5753814143414122</v>
      </c>
      <c r="I249" s="43">
        <f>LN(I248/H248)</f>
        <v>-0.96904537912316369</v>
      </c>
      <c r="J249" s="43">
        <f>LN(J248/I248)</f>
        <v>2.1067292263651534</v>
      </c>
      <c r="K249" s="52">
        <f>AVERAGE(A249:J249)</f>
        <v>4.9318700289774732E-2</v>
      </c>
    </row>
    <row r="250" spans="1:11" ht="15.75" x14ac:dyDescent="0.25">
      <c r="A250" s="3" t="s">
        <v>140</v>
      </c>
      <c r="B250" s="59">
        <f t="shared" ref="B250:J250" si="115">B238</f>
        <v>4.0195225064285994E-2</v>
      </c>
      <c r="C250" s="59">
        <f t="shared" si="115"/>
        <v>4.3416045183906418E-2</v>
      </c>
      <c r="D250" s="59">
        <f t="shared" si="115"/>
        <v>8.7402556830729047E-2</v>
      </c>
      <c r="E250" s="59">
        <f t="shared" si="115"/>
        <v>4.2691249617674586E-2</v>
      </c>
      <c r="F250" s="59">
        <f t="shared" si="115"/>
        <v>2.9486201243498815E-2</v>
      </c>
      <c r="G250" s="59">
        <f t="shared" si="115"/>
        <v>3.6748816094798548E-2</v>
      </c>
      <c r="H250" s="59">
        <f t="shared" si="115"/>
        <v>5.3910655772188745E-2</v>
      </c>
      <c r="I250" s="59">
        <f t="shared" si="115"/>
        <v>5.38583694630866E-2</v>
      </c>
      <c r="J250" s="59">
        <f t="shared" si="115"/>
        <v>5.2736764111230142E-2</v>
      </c>
      <c r="K250" s="40"/>
    </row>
    <row r="251" spans="1:11" ht="15.75" x14ac:dyDescent="0.25">
      <c r="A251" s="3" t="s">
        <v>168</v>
      </c>
      <c r="B251" s="3"/>
      <c r="C251" s="3"/>
      <c r="D251" s="3"/>
      <c r="E251" s="3"/>
      <c r="F251" s="3"/>
      <c r="G251" s="3"/>
      <c r="H251" s="3"/>
      <c r="I251" s="3"/>
      <c r="J251" s="3"/>
      <c r="K251" s="52">
        <f>K248/(1+J250)^1</f>
        <v>199169.27352437706</v>
      </c>
    </row>
    <row r="252" spans="1:11" ht="15.75" x14ac:dyDescent="0.25">
      <c r="K252" s="17"/>
    </row>
    <row r="253" spans="1:11" ht="15.75" x14ac:dyDescent="0.25">
      <c r="A253" s="22" t="s">
        <v>169</v>
      </c>
      <c r="B253" s="22">
        <v>2005</v>
      </c>
      <c r="C253" s="22">
        <v>2006</v>
      </c>
      <c r="D253" s="22">
        <v>2007</v>
      </c>
      <c r="E253" s="22">
        <v>2008</v>
      </c>
      <c r="F253" s="22">
        <v>2009</v>
      </c>
      <c r="G253" s="22">
        <v>2010</v>
      </c>
      <c r="H253" s="22">
        <v>2011</v>
      </c>
      <c r="I253" s="22">
        <v>2012</v>
      </c>
      <c r="J253" s="22">
        <v>2013</v>
      </c>
      <c r="K253" s="53" t="s">
        <v>144</v>
      </c>
    </row>
    <row r="254" spans="1:11" ht="15.75" x14ac:dyDescent="0.25">
      <c r="A254" s="3" t="s">
        <v>170</v>
      </c>
      <c r="B254" s="43">
        <f t="shared" ref="B254:J254" si="116">B248</f>
        <v>134674.07500000001</v>
      </c>
      <c r="C254" s="43">
        <f t="shared" si="116"/>
        <v>210626.80000000002</v>
      </c>
      <c r="D254" s="43">
        <f t="shared" si="116"/>
        <v>218572.05000000002</v>
      </c>
      <c r="E254" s="43">
        <f t="shared" si="116"/>
        <v>211088.2</v>
      </c>
      <c r="F254" s="43">
        <f t="shared" si="116"/>
        <v>167620</v>
      </c>
      <c r="G254" s="43">
        <f t="shared" si="116"/>
        <v>309545.40000000002</v>
      </c>
      <c r="H254" s="43">
        <f t="shared" si="116"/>
        <v>64053.799999999988</v>
      </c>
      <c r="I254" s="43">
        <f t="shared" si="116"/>
        <v>24304.899999999994</v>
      </c>
      <c r="J254" s="43">
        <f t="shared" si="116"/>
        <v>199818.05</v>
      </c>
      <c r="K254" s="40"/>
    </row>
    <row r="255" spans="1:11" ht="15.75" x14ac:dyDescent="0.25">
      <c r="A255" s="3" t="s">
        <v>171</v>
      </c>
      <c r="B255" s="7">
        <f t="shared" ref="B255:J255" si="117">-B82</f>
        <v>94043</v>
      </c>
      <c r="C255" s="7">
        <f t="shared" si="117"/>
        <v>122201</v>
      </c>
      <c r="D255" s="7">
        <v>187</v>
      </c>
      <c r="E255" s="7">
        <f t="shared" si="117"/>
        <v>133127</v>
      </c>
      <c r="F255" s="7">
        <f t="shared" si="117"/>
        <v>66675</v>
      </c>
      <c r="G255" s="7">
        <f t="shared" si="117"/>
        <v>55605</v>
      </c>
      <c r="H255" s="7">
        <f t="shared" si="117"/>
        <v>27917</v>
      </c>
      <c r="I255" s="7">
        <f t="shared" si="117"/>
        <v>44321</v>
      </c>
      <c r="J255" s="7">
        <f t="shared" si="117"/>
        <v>33252</v>
      </c>
      <c r="K255" s="40"/>
    </row>
    <row r="256" spans="1:11" ht="15.75" x14ac:dyDescent="0.25">
      <c r="A256" s="3" t="s">
        <v>139</v>
      </c>
      <c r="B256" s="42">
        <f t="shared" ref="B256:J256" si="118">B204</f>
        <v>0.35</v>
      </c>
      <c r="C256" s="42">
        <f t="shared" si="118"/>
        <v>0.35</v>
      </c>
      <c r="D256" s="42">
        <f t="shared" si="118"/>
        <v>0.35</v>
      </c>
      <c r="E256" s="42">
        <f t="shared" si="118"/>
        <v>0.35</v>
      </c>
      <c r="F256" s="42">
        <f t="shared" si="118"/>
        <v>0.35</v>
      </c>
      <c r="G256" s="42">
        <f t="shared" si="118"/>
        <v>0.35</v>
      </c>
      <c r="H256" s="42">
        <f t="shared" si="118"/>
        <v>0.35</v>
      </c>
      <c r="I256" s="42">
        <f t="shared" si="118"/>
        <v>0.35</v>
      </c>
      <c r="J256" s="42">
        <f t="shared" si="118"/>
        <v>0.35</v>
      </c>
      <c r="K256" s="40"/>
    </row>
    <row r="257" spans="1:11" ht="15.75" x14ac:dyDescent="0.25">
      <c r="A257" s="3" t="s">
        <v>172</v>
      </c>
      <c r="B257" s="7">
        <f t="shared" ref="B257:J257" si="119">-B81</f>
        <v>240612</v>
      </c>
      <c r="C257" s="7">
        <f t="shared" si="119"/>
        <v>483075</v>
      </c>
      <c r="D257" s="7">
        <f t="shared" si="119"/>
        <v>616115</v>
      </c>
      <c r="E257" s="7">
        <f t="shared" si="119"/>
        <v>1197678</v>
      </c>
      <c r="F257" s="7">
        <f t="shared" si="119"/>
        <v>900352</v>
      </c>
      <c r="G257" s="7">
        <f t="shared" si="119"/>
        <v>1024492</v>
      </c>
      <c r="H257" s="7">
        <f t="shared" si="119"/>
        <v>1479823</v>
      </c>
      <c r="I257" s="7">
        <f t="shared" si="119"/>
        <v>498697</v>
      </c>
      <c r="J257" s="7">
        <f t="shared" si="119"/>
        <v>369446</v>
      </c>
      <c r="K257" s="40"/>
    </row>
    <row r="258" spans="1:11" ht="15.75" x14ac:dyDescent="0.25">
      <c r="A258" s="3" t="s">
        <v>173</v>
      </c>
      <c r="B258" s="7">
        <v>66773</v>
      </c>
      <c r="C258" s="7">
        <f t="shared" ref="C258:J258" si="120">(C27-B27)</f>
        <v>-134617</v>
      </c>
      <c r="D258" s="7">
        <f t="shared" si="120"/>
        <v>195102</v>
      </c>
      <c r="E258" s="7">
        <f t="shared" si="120"/>
        <v>-132936</v>
      </c>
      <c r="F258" s="7">
        <f t="shared" si="120"/>
        <v>187762</v>
      </c>
      <c r="G258" s="7">
        <f t="shared" si="120"/>
        <v>445966</v>
      </c>
      <c r="H258" s="7">
        <f t="shared" si="120"/>
        <v>61727</v>
      </c>
      <c r="I258" s="7">
        <f t="shared" si="120"/>
        <v>10690</v>
      </c>
      <c r="J258" s="7">
        <f t="shared" si="120"/>
        <v>-183462</v>
      </c>
      <c r="K258" s="40"/>
    </row>
    <row r="259" spans="1:11" ht="15.75" x14ac:dyDescent="0.25">
      <c r="A259" s="3" t="s">
        <v>174</v>
      </c>
      <c r="B259" s="7">
        <f>B254-B255*(1-B256)-B257+B258</f>
        <v>-100292.875</v>
      </c>
      <c r="C259" s="7">
        <f t="shared" ref="C259:J259" si="121">C254-C255*(1-C256)-C257+C258</f>
        <v>-486495.85</v>
      </c>
      <c r="D259" s="7">
        <f t="shared" si="121"/>
        <v>-202562.5</v>
      </c>
      <c r="E259" s="7">
        <f t="shared" si="121"/>
        <v>-1206058.3500000001</v>
      </c>
      <c r="F259" s="7">
        <f t="shared" si="121"/>
        <v>-588308.75</v>
      </c>
      <c r="G259" s="7">
        <f t="shared" si="121"/>
        <v>-305123.84999999998</v>
      </c>
      <c r="H259" s="7">
        <f t="shared" si="121"/>
        <v>-1372188.25</v>
      </c>
      <c r="I259" s="7">
        <f t="shared" si="121"/>
        <v>-492510.75</v>
      </c>
      <c r="J259" s="7">
        <f t="shared" si="121"/>
        <v>-374703.75</v>
      </c>
      <c r="K259" s="52">
        <f>J259*(1+K260)</f>
        <v>-835797.66352128924</v>
      </c>
    </row>
    <row r="260" spans="1:11" ht="15.75" x14ac:dyDescent="0.25">
      <c r="A260" s="44" t="s">
        <v>175</v>
      </c>
      <c r="B260" s="7">
        <f>(C260+D260+E260+F260+G260+H260+I260+J260)/8</f>
        <v>1.2305559085578648</v>
      </c>
      <c r="C260" s="42">
        <f t="shared" ref="C260:J260" si="122">(C259-B259)/B259</f>
        <v>3.850751860488594</v>
      </c>
      <c r="D260" s="42">
        <f t="shared" si="122"/>
        <v>-0.58362954175251447</v>
      </c>
      <c r="E260" s="42">
        <f t="shared" si="122"/>
        <v>4.9540060475161996</v>
      </c>
      <c r="F260" s="42">
        <f t="shared" si="122"/>
        <v>-0.51220540034402151</v>
      </c>
      <c r="G260" s="42">
        <f t="shared" si="122"/>
        <v>-0.48135422089166618</v>
      </c>
      <c r="H260" s="42">
        <f t="shared" si="122"/>
        <v>3.4971517303547395</v>
      </c>
      <c r="I260" s="42">
        <f t="shared" si="122"/>
        <v>-0.64107639749866685</v>
      </c>
      <c r="J260" s="42">
        <f t="shared" si="122"/>
        <v>-0.23919680940974386</v>
      </c>
      <c r="K260" s="54">
        <f>AVERAGE(A260:J260)</f>
        <v>1.2305559085578652</v>
      </c>
    </row>
    <row r="261" spans="1:11" ht="15.75" x14ac:dyDescent="0.25">
      <c r="A261" s="3" t="s">
        <v>133</v>
      </c>
      <c r="B261" s="42">
        <f t="shared" ref="B261:J261" si="123">B198</f>
        <v>7.1370000000000003E-2</v>
      </c>
      <c r="C261" s="42">
        <f t="shared" si="123"/>
        <v>7.3179500000000008E-2</v>
      </c>
      <c r="D261" s="42">
        <f t="shared" si="123"/>
        <v>0.23241550000000002</v>
      </c>
      <c r="E261" s="42">
        <f t="shared" si="123"/>
        <v>7.7145000000000005E-2</v>
      </c>
      <c r="F261" s="42">
        <f t="shared" si="123"/>
        <v>7.8761999999999999E-2</v>
      </c>
      <c r="G261" s="42">
        <f t="shared" si="123"/>
        <v>0.1042105</v>
      </c>
      <c r="H261" s="42">
        <f t="shared" si="123"/>
        <v>0.12661749999999999</v>
      </c>
      <c r="I261" s="42">
        <f t="shared" si="123"/>
        <v>0.108946</v>
      </c>
      <c r="J261" s="42">
        <f t="shared" si="123"/>
        <v>9.0966500000000006E-2</v>
      </c>
      <c r="K261" s="40"/>
    </row>
    <row r="262" spans="1:11" ht="15.75" x14ac:dyDescent="0.25">
      <c r="A262" s="3" t="s">
        <v>176</v>
      </c>
      <c r="B262" s="3"/>
      <c r="C262" s="3"/>
      <c r="D262" s="3"/>
      <c r="E262" s="3"/>
      <c r="F262" s="3"/>
      <c r="G262" s="3"/>
      <c r="H262" s="3"/>
      <c r="I262" s="3"/>
      <c r="J262" s="3"/>
      <c r="K262" s="52">
        <f>K259/(1+J261)^1</f>
        <v>-766107.54181846033</v>
      </c>
    </row>
  </sheetData>
  <mergeCells count="1">
    <mergeCell ref="B220:K220"/>
  </mergeCells>
  <pageMargins left="0.7" right="0.7" top="0.75" bottom="0.75" header="0.51180555555555496" footer="0.51180555555555496"/>
  <pageSetup paperSize="9" firstPageNumber="0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S11"/>
  <sheetViews>
    <sheetView zoomScale="70" zoomScaleNormal="70" workbookViewId="0">
      <selection activeCell="A33" sqref="A33"/>
    </sheetView>
  </sheetViews>
  <sheetFormatPr defaultRowHeight="15" x14ac:dyDescent="0.25"/>
  <cols>
    <col min="1" max="1" width="13" customWidth="1"/>
    <col min="2" max="2" width="16.28515625" customWidth="1"/>
    <col min="3" max="3" width="21.85546875" customWidth="1"/>
    <col min="4" max="4" width="19.28515625" customWidth="1"/>
    <col min="5" max="5" width="13.42578125" customWidth="1"/>
    <col min="6" max="6" width="14.140625" customWidth="1"/>
    <col min="7" max="7" width="17" customWidth="1"/>
    <col min="13" max="13" width="16.28515625" customWidth="1"/>
    <col min="14" max="14" width="12.5703125" customWidth="1"/>
    <col min="15" max="15" width="10.140625" customWidth="1"/>
    <col min="19" max="19" width="14.42578125" customWidth="1"/>
  </cols>
  <sheetData>
    <row r="1" spans="2:19" x14ac:dyDescent="0.25">
      <c r="C1" s="63" t="s">
        <v>182</v>
      </c>
      <c r="D1" s="63"/>
      <c r="E1" s="63"/>
      <c r="F1" s="63"/>
      <c r="G1" s="63"/>
      <c r="I1" s="63" t="s">
        <v>183</v>
      </c>
      <c r="J1" s="63"/>
      <c r="K1" s="63"/>
      <c r="L1" s="63"/>
      <c r="M1" s="63"/>
      <c r="N1" s="63"/>
      <c r="P1" s="63" t="s">
        <v>184</v>
      </c>
      <c r="Q1" s="63"/>
      <c r="R1" s="63"/>
      <c r="S1" s="63"/>
    </row>
    <row r="2" spans="2:19" ht="75" x14ac:dyDescent="0.25">
      <c r="B2" s="48" t="s">
        <v>64</v>
      </c>
      <c r="C2" s="47" t="s">
        <v>66</v>
      </c>
      <c r="D2" s="47" t="s">
        <v>178</v>
      </c>
      <c r="E2" s="47" t="s">
        <v>179</v>
      </c>
      <c r="F2" s="47" t="s">
        <v>67</v>
      </c>
      <c r="G2" s="47" t="s">
        <v>68</v>
      </c>
      <c r="H2" s="46"/>
      <c r="I2" s="47" t="s">
        <v>180</v>
      </c>
      <c r="J2" s="47" t="s">
        <v>70</v>
      </c>
      <c r="K2" s="47" t="s">
        <v>181</v>
      </c>
      <c r="L2" s="47" t="s">
        <v>71</v>
      </c>
      <c r="M2" s="47" t="s">
        <v>72</v>
      </c>
      <c r="N2" s="47" t="s">
        <v>73</v>
      </c>
      <c r="O2" s="46"/>
      <c r="P2" s="47" t="s">
        <v>75</v>
      </c>
      <c r="Q2" s="48" t="s">
        <v>76</v>
      </c>
      <c r="R2" s="48" t="s">
        <v>77</v>
      </c>
      <c r="S2" s="49" t="s">
        <v>78</v>
      </c>
    </row>
    <row r="3" spans="2:19" x14ac:dyDescent="0.25">
      <c r="B3" s="48">
        <v>2005</v>
      </c>
      <c r="C3" s="48">
        <f>Μοντελοποίηση!B99</f>
        <v>-9686</v>
      </c>
      <c r="D3" s="48">
        <f>Μοντελοποίηση!B100</f>
        <v>0.98310798438107661</v>
      </c>
      <c r="E3" s="48">
        <f>Μοντελοποίηση!B101</f>
        <v>31.054416405673631</v>
      </c>
      <c r="F3" s="48">
        <f>Μοντελοποίηση!B102</f>
        <v>38.478458797531545</v>
      </c>
      <c r="G3" s="48">
        <f>Μοντελοποίηση!B103</f>
        <v>-7.4326963437364993E-3</v>
      </c>
      <c r="I3" s="48">
        <f>Μοντελοποίηση!B105</f>
        <v>0.10028461563843608</v>
      </c>
      <c r="J3" s="48">
        <f>Μοντελοποίηση!B106</f>
        <v>0.38592061706192765</v>
      </c>
      <c r="K3" s="48">
        <f>Μοντελοποίηση!B107</f>
        <v>4.4698127656459863E-2</v>
      </c>
      <c r="L3" s="48">
        <f>Μοντελοποίηση!B108</f>
        <v>-13.492360107371464</v>
      </c>
      <c r="M3" s="48">
        <f>Μοντελοποίηση!B109</f>
        <v>0.17651541137280813</v>
      </c>
      <c r="N3" s="48">
        <f>Μοντελοποίηση!B110</f>
        <v>0.15057080437490072</v>
      </c>
      <c r="P3" s="48">
        <f>Μοντελοποίηση!B112</f>
        <v>2.848253439523738</v>
      </c>
      <c r="Q3" s="48">
        <f>Μοντελοποίηση!B113</f>
        <v>0.74014185507393182</v>
      </c>
      <c r="R3" s="48">
        <f>Μοντελοποίηση!B114</f>
        <v>25.522632674297608</v>
      </c>
      <c r="S3" s="48">
        <f>Μοντελοποίηση!B115</f>
        <v>0.35109235228983415</v>
      </c>
    </row>
    <row r="4" spans="2:19" x14ac:dyDescent="0.25">
      <c r="B4" s="48">
        <v>2006</v>
      </c>
      <c r="C4" s="48">
        <f>Μοντελοποίηση!C99</f>
        <v>-30179</v>
      </c>
      <c r="D4" s="48">
        <f>Μοντελοποίηση!C100</f>
        <v>0.93600191703724434</v>
      </c>
      <c r="E4" s="48">
        <f>Μοντελοποίηση!C101</f>
        <v>25.41408587059956</v>
      </c>
      <c r="F4" s="48">
        <f>Μοντελοποίηση!C102</f>
        <v>18.314086531812325</v>
      </c>
      <c r="G4" s="48">
        <f>Μοντελοποίηση!C103</f>
        <v>-2.5702695636103178E-2</v>
      </c>
      <c r="I4" s="48">
        <f>Μοντελοποίηση!C105</f>
        <v>0.10856640125639075</v>
      </c>
      <c r="J4" s="48">
        <f>Μοντελοποίηση!C106</f>
        <v>0.37029484386347133</v>
      </c>
      <c r="K4" s="48">
        <f>Μοντελοποίηση!C107</f>
        <v>3.5119764916822192E-2</v>
      </c>
      <c r="L4" s="48">
        <f>Μοντελοποίηση!C108</f>
        <v>-4.2239305477318663</v>
      </c>
      <c r="M4" s="48">
        <f>Μοντελοποίηση!C109</f>
        <v>0.19918886486219475</v>
      </c>
      <c r="N4" s="48">
        <f>Μοντελοποίηση!C110</f>
        <v>0.18339285121155008</v>
      </c>
      <c r="P4" s="48">
        <f>Μοντελοποίηση!C112</f>
        <v>2.4107683369644155</v>
      </c>
      <c r="Q4" s="48">
        <f>Μοντελοποίηση!C113</f>
        <v>0.70681092903248888</v>
      </c>
      <c r="R4" s="48">
        <f>Μοντελοποίηση!C114</f>
        <v>8.3679322271013881</v>
      </c>
      <c r="S4" s="48">
        <f>Μοντελοποίηση!C115</f>
        <v>0.41480551435281304</v>
      </c>
    </row>
    <row r="5" spans="2:19" x14ac:dyDescent="0.25">
      <c r="B5" s="48">
        <v>2007</v>
      </c>
      <c r="C5" s="48">
        <f>Μοντελοποίηση!D99</f>
        <v>-42937</v>
      </c>
      <c r="D5" s="48">
        <f>Μοντελοποίηση!D100</f>
        <v>0.93940997505108315</v>
      </c>
      <c r="E5" s="48">
        <f>Μοντελοποίηση!D101</f>
        <v>30.930263854505874</v>
      </c>
      <c r="F5" s="48">
        <f>Μοντελοποίηση!D102</f>
        <v>33.359748091826781</v>
      </c>
      <c r="G5" s="48">
        <f>Μοντελοποίηση!D103</f>
        <v>-3.0745226423551889E-2</v>
      </c>
      <c r="I5" s="48">
        <f>Μοντελοποίηση!D105</f>
        <v>0.11076143789445644</v>
      </c>
      <c r="J5" s="48">
        <f>Μοντελοποίηση!D106</f>
        <v>0.41633717597090969</v>
      </c>
      <c r="K5" s="48">
        <f>Μοντελοποίηση!D107</f>
        <v>4.1591145032995595E-2</v>
      </c>
      <c r="L5" s="48">
        <f>Μοντελοποίηση!D108</f>
        <v>-3.6025572350187485</v>
      </c>
      <c r="M5" s="48">
        <f>Μοντελοποίηση!D109</f>
        <v>0.18841681811216562</v>
      </c>
      <c r="N5" s="48">
        <f>Μοντελοποίηση!D110</f>
        <v>0.17213732204258805</v>
      </c>
      <c r="P5" s="48">
        <f>Μοντελοποίηση!D112</f>
        <v>2.7588639501740087</v>
      </c>
      <c r="Q5" s="48">
        <f>Μοντελοποίηση!D113</f>
        <v>0.73396217227981686</v>
      </c>
      <c r="R5" s="48">
        <f>Μοντελοποίηση!D114</f>
        <v>7.5159293418790059</v>
      </c>
      <c r="S5" s="48">
        <f>Μοντελοποίηση!D115</f>
        <v>0.36246803686601775</v>
      </c>
    </row>
    <row r="6" spans="2:19" x14ac:dyDescent="0.25">
      <c r="B6" s="48">
        <v>2008</v>
      </c>
      <c r="C6" s="48">
        <f>Μοντελοποίηση!E99</f>
        <v>-147448</v>
      </c>
      <c r="D6" s="48">
        <f>Μοντελοποίηση!E100</f>
        <v>0.75207739930792594</v>
      </c>
      <c r="E6" s="48">
        <f>Μοντελοποίηση!E101</f>
        <v>14.837352609885302</v>
      </c>
      <c r="F6" s="48">
        <f>Μοντελοποίηση!E102</f>
        <v>16.865663216714307</v>
      </c>
      <c r="G6" s="48">
        <f>Μοντελοποίηση!E103</f>
        <v>-0.12221814224246187</v>
      </c>
      <c r="I6" s="48">
        <f>Μοντελοποίηση!E105</f>
        <v>6.2802492968942331E-2</v>
      </c>
      <c r="J6" s="48">
        <f>Μοντελοποίηση!E106</f>
        <v>0.24101984985367095</v>
      </c>
      <c r="K6" s="48">
        <f>Μοντελοποίηση!E107</f>
        <v>1.4980373687830817E-2</v>
      </c>
      <c r="L6" s="48">
        <f>Μοντελοποίηση!E108</f>
        <v>-0.51385573219033154</v>
      </c>
      <c r="M6" s="48">
        <f>Μοντελοποίηση!E109</f>
        <v>0.17071731293822368</v>
      </c>
      <c r="N6" s="48">
        <f>Μοντελοποίηση!E110</f>
        <v>0.10748048171759228</v>
      </c>
      <c r="P6" s="48">
        <f>Μοντελοποίηση!E112</f>
        <v>2.8377433515714467</v>
      </c>
      <c r="Q6" s="48">
        <f>Μοντελοποίηση!E113</f>
        <v>0.7394302045782899</v>
      </c>
      <c r="R6" s="48">
        <f>Μοντελοποίηση!E114</f>
        <v>4.2777777777777777</v>
      </c>
      <c r="S6" s="48">
        <f>Μοντελοποίηση!E115</f>
        <v>0.35239268535198354</v>
      </c>
    </row>
    <row r="7" spans="2:19" x14ac:dyDescent="0.25">
      <c r="B7" s="48">
        <v>2009</v>
      </c>
      <c r="C7" s="48">
        <f>Μοντελοποίηση!F99</f>
        <v>-309764</v>
      </c>
      <c r="D7" s="48">
        <f>Μοντελοποίηση!F100</f>
        <v>0.62214225594359529</v>
      </c>
      <c r="E7" s="48">
        <f>Μοντελοποίηση!F101</f>
        <v>25.75830281330099</v>
      </c>
      <c r="F7" s="48">
        <f>Μοντελοποίηση!F102</f>
        <v>25.962152488138837</v>
      </c>
      <c r="G7" s="48">
        <f>Μοντελοποίηση!F103</f>
        <v>-0.21928223090738036</v>
      </c>
      <c r="I7" s="48">
        <f>Μοντελοποίηση!F105</f>
        <v>6.0102206739641818E-2</v>
      </c>
      <c r="J7" s="48">
        <f>Μοντελοποίηση!F106</f>
        <v>0.25512031539219693</v>
      </c>
      <c r="K7" s="48">
        <f>Μοντελοποίηση!F107</f>
        <v>2.4304002995419276E-2</v>
      </c>
      <c r="L7" s="48">
        <f>Μοντελοποίηση!F108</f>
        <v>-0.27408607843390453</v>
      </c>
      <c r="M7" s="48">
        <f>Μοντελοποίηση!F109</f>
        <v>0.12378568440218118</v>
      </c>
      <c r="N7" s="48">
        <f>Μοντελοποίηση!F110</f>
        <v>0.10369333164380973</v>
      </c>
      <c r="P7" s="48">
        <f>Μοντελοποίηση!F112</f>
        <v>3.244774513810428</v>
      </c>
      <c r="Q7" s="48">
        <f>Μοντελοποίηση!F113</f>
        <v>0.76441622593933145</v>
      </c>
      <c r="R7" s="48">
        <f>Μοντελοποίηση!F114</f>
        <v>9.1128530546223718</v>
      </c>
      <c r="S7" s="48">
        <f>Μοντελοποίηση!F115</f>
        <v>0.30818782499178116</v>
      </c>
    </row>
    <row r="8" spans="2:19" x14ac:dyDescent="0.25">
      <c r="B8" s="48">
        <v>2010</v>
      </c>
      <c r="C8" s="48">
        <f>Μοντελοποίηση!G99</f>
        <v>-488655</v>
      </c>
      <c r="D8" s="48">
        <f>Μοντελοποίηση!G100</f>
        <v>0.63545233587130212</v>
      </c>
      <c r="E8" s="48">
        <f>Μοντελοποίηση!G101</f>
        <v>21.792132259237352</v>
      </c>
      <c r="F8" s="48">
        <f>Μοντελοποίηση!G102</f>
        <v>40.046598197351813</v>
      </c>
      <c r="G8" s="48">
        <f>Μοντελοποίηση!G103</f>
        <v>-0.25922654571496778</v>
      </c>
      <c r="I8" s="48">
        <f>Μοντελοποίηση!G105</f>
        <v>4.3649770563115038E-2</v>
      </c>
      <c r="J8" s="48">
        <f>Μοντελοποίηση!G106</f>
        <v>0.22903891172974733</v>
      </c>
      <c r="K8" s="48">
        <f>Μοντελοποίηση!G107</f>
        <v>1.6863602025386604E-2</v>
      </c>
      <c r="L8" s="48">
        <f>Μοντελοποίηση!G108</f>
        <v>-0.16838464765529873</v>
      </c>
      <c r="M8" s="48">
        <f>Μοντελοποίηση!G109</f>
        <v>0.10255165645473595</v>
      </c>
      <c r="N8" s="48">
        <f>Μοντελοποίηση!G110</f>
        <v>8.1863080554892442E-2</v>
      </c>
      <c r="P8" s="48">
        <f>Μοντελοποίηση!G112</f>
        <v>4.2471962343666929</v>
      </c>
      <c r="Q8" s="48">
        <f>Μοντελοποίηση!G113</f>
        <v>0.80942203124585554</v>
      </c>
      <c r="R8" s="48">
        <f>Μοντελοποίηση!G114</f>
        <v>5.5719805018956494</v>
      </c>
      <c r="S8" s="48">
        <f>Μοντελοποίηση!G115</f>
        <v>0.23544944589759739</v>
      </c>
    </row>
    <row r="9" spans="2:19" x14ac:dyDescent="0.25">
      <c r="B9" s="48">
        <v>2011</v>
      </c>
      <c r="C9" s="48">
        <f>Μοντελοποίηση!H99</f>
        <v>-176591</v>
      </c>
      <c r="D9" s="48">
        <f>Μοντελοποίηση!H100</f>
        <v>0.85331316494221943</v>
      </c>
      <c r="E9" s="48">
        <f>Μοντελοποίηση!H101</f>
        <v>16.560030914686827</v>
      </c>
      <c r="F9" s="48">
        <f>Μοντελοποίηση!H102</f>
        <v>30.622003442988206</v>
      </c>
      <c r="G9" s="48">
        <f>Μοντελοποίηση!H103</f>
        <v>-8.6891592539341853E-2</v>
      </c>
      <c r="I9" s="48">
        <f>Μοντελοποίηση!H105</f>
        <v>6.9344599308965055E-2</v>
      </c>
      <c r="J9" s="48">
        <f>Μοντελοποίηση!H106</f>
        <v>0.31684900154231471</v>
      </c>
      <c r="K9" s="48">
        <f>Μοντελοποίηση!H107</f>
        <v>1.9721196879200709E-2</v>
      </c>
      <c r="L9" s="48">
        <f>Μοντελοποίηση!H108</f>
        <v>-0.79805879121812551</v>
      </c>
      <c r="M9" s="48">
        <f>Μοντελοποίηση!H109</f>
        <v>0.14513948139903579</v>
      </c>
      <c r="N9" s="48">
        <f>Μοντελοποίηση!H110</f>
        <v>0.11207323277800577</v>
      </c>
      <c r="P9" s="48">
        <f>Μοντελοποίηση!H112</f>
        <v>3.569195073585949</v>
      </c>
      <c r="Q9" s="48">
        <f>Μοντελοποίηση!H113</f>
        <v>0.78114307139546346</v>
      </c>
      <c r="R9" s="48">
        <f>Μοντελοποίηση!H114</f>
        <v>4.4931744653988792</v>
      </c>
      <c r="S9" s="48">
        <f>Μοντελοποίηση!H115</f>
        <v>0.28017521580721727</v>
      </c>
    </row>
    <row r="10" spans="2:19" x14ac:dyDescent="0.25">
      <c r="B10" s="48">
        <v>2012</v>
      </c>
      <c r="C10" s="48">
        <f>Μοντελοποίηση!I99</f>
        <v>56655</v>
      </c>
      <c r="D10" s="48">
        <f>Μοντελοποίηση!I100</f>
        <v>1.05561767474827</v>
      </c>
      <c r="E10" s="48">
        <f>Μοντελοποίηση!I101</f>
        <v>13.089532369124274</v>
      </c>
      <c r="F10" s="48">
        <f>Μοντελοποίηση!I102</f>
        <v>27.007686043886963</v>
      </c>
      <c r="G10" s="48">
        <f>Μοντελοποίηση!I103</f>
        <v>2.7259945994945928E-2</v>
      </c>
      <c r="I10" s="48">
        <f>Μοντελοποίηση!I105</f>
        <v>4.3762185299308483E-2</v>
      </c>
      <c r="J10" s="48">
        <f>Μοντελοποίηση!I106</f>
        <v>0.18944149833578419</v>
      </c>
      <c r="K10" s="48">
        <f>Μοντελοποίηση!I107</f>
        <v>1.1037515806540084E-2</v>
      </c>
      <c r="L10" s="48">
        <f>Μοντελοποίηση!I108</f>
        <v>1.6053658106080664</v>
      </c>
      <c r="M10" s="48">
        <f>Μοντελοποίηση!I109</f>
        <v>0.16164852063489621</v>
      </c>
      <c r="N10" s="48">
        <f>Μοντελοποίηση!I110</f>
        <v>8.5123397506837242E-2</v>
      </c>
      <c r="P10" s="48">
        <f>Μοντελοποίηση!I112</f>
        <v>3.3288857044069435</v>
      </c>
      <c r="Q10" s="48">
        <f>Μοντελοποίηση!I113</f>
        <v>0.76899366989939966</v>
      </c>
      <c r="R10" s="48">
        <f>Μοντελοποίηση!I114</f>
        <v>2.8284517490567245</v>
      </c>
      <c r="S10" s="48">
        <f>Μοντελοποίηση!I115</f>
        <v>0.3004008214148508</v>
      </c>
    </row>
    <row r="11" spans="2:19" x14ac:dyDescent="0.25">
      <c r="B11" s="48">
        <v>2013</v>
      </c>
      <c r="C11" s="48">
        <f>Μοντελοποίηση!J99</f>
        <v>3368</v>
      </c>
      <c r="D11" s="48">
        <f>Μοντελοποίηση!J100</f>
        <v>1.003864033739164</v>
      </c>
      <c r="E11" s="48">
        <f>Μοντελοποίηση!J101</f>
        <v>13.489026137338799</v>
      </c>
      <c r="F11" s="48">
        <f>Μοντελοποίηση!J102</f>
        <v>22.466415968110901</v>
      </c>
      <c r="G11" s="48">
        <f>Μοντελοποίηση!J103</f>
        <v>1.8148937683617888E-3</v>
      </c>
      <c r="I11" s="48">
        <f>Μοντελοποίηση!J105</f>
        <v>3.0041664960264174E-3</v>
      </c>
      <c r="J11" s="48">
        <f>Μοντελοποίηση!J106</f>
        <v>1.264172335600907E-2</v>
      </c>
      <c r="K11" s="48">
        <f>Μοντελοποίηση!J107</f>
        <v>7.1076304333053751E-4</v>
      </c>
      <c r="L11" s="48">
        <f>Μοντελοποίηση!J108</f>
        <v>1.6552850356294537</v>
      </c>
      <c r="M11" s="48">
        <f>Μοντελοποίηση!J109</f>
        <v>0.16701980217226833</v>
      </c>
      <c r="N11" s="48">
        <f>Μοντελοποίηση!J110</f>
        <v>4.2493194148368642E-2</v>
      </c>
      <c r="P11" s="48">
        <f>Μοντελοποίηση!J112</f>
        <v>3.2080634920634923</v>
      </c>
      <c r="Q11" s="48">
        <f>Μοντελοποίηση!J113</f>
        <v>0.76236100004526453</v>
      </c>
      <c r="R11" s="48">
        <f>Μοντελοποίηση!J114</f>
        <v>1.4161518569068314</v>
      </c>
      <c r="S11" s="48">
        <f>Μοντελοποίηση!J115</f>
        <v>0.31171452886575496</v>
      </c>
    </row>
  </sheetData>
  <mergeCells count="3">
    <mergeCell ref="C1:G1"/>
    <mergeCell ref="I1:N1"/>
    <mergeCell ref="P1:S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4057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Μοντελοποίηση</vt:lpstr>
      <vt:lpstr>CHARTS</vt:lpstr>
      <vt:lpstr>Α1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ΠΑΝΑΓΙΩΤΗΣ ΣΠΑΝΟΣ</dc:creator>
  <cp:lastModifiedBy>PANTEION</cp:lastModifiedBy>
  <cp:revision>14</cp:revision>
  <dcterms:created xsi:type="dcterms:W3CDTF">2015-01-18T07:03:33Z</dcterms:created>
  <dcterms:modified xsi:type="dcterms:W3CDTF">2023-04-25T15:38:17Z</dcterms:modified>
  <dc:language>el-GR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