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PANTEION\Desktop\"/>
    </mc:Choice>
  </mc:AlternateContent>
  <xr:revisionPtr revIDLastSave="0" documentId="8_{063A5CD4-7AC1-40D8-9B3E-3D9FE8954ECC}" xr6:coauthVersionLast="47" xr6:coauthVersionMax="47" xr10:uidLastSave="{00000000-0000-0000-0000-000000000000}"/>
  <bookViews>
    <workbookView xWindow="-120" yWindow="-120" windowWidth="20730" windowHeight="11160" xr2:uid="{00000000-000D-0000-FFFF-FFFF00000000}"/>
  </bookViews>
  <sheets>
    <sheet name="Projected FS" sheetId="1" r:id="rId1"/>
  </sheets>
  <definedNames>
    <definedName name="_xlnm.Print_Area" localSheetId="0">'Projected FS'!$A$1:$F$64</definedName>
  </definedNames>
  <calcPr calcId="191029" iterate="1" iterateCount="10000" iterateDelta="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6" i="1" l="1"/>
  <c r="N96" i="1"/>
  <c r="L96" i="1"/>
  <c r="J96" i="1"/>
  <c r="C96" i="1"/>
  <c r="H96" i="1"/>
  <c r="H97" i="1" s="1"/>
  <c r="P152" i="1"/>
  <c r="O95" i="1"/>
  <c r="P95" i="1" s="1"/>
  <c r="P94" i="1"/>
  <c r="P60" i="1"/>
  <c r="P26" i="1"/>
  <c r="P15" i="1"/>
  <c r="P5" i="1"/>
  <c r="N152" i="1"/>
  <c r="P150" i="1" s="1"/>
  <c r="M95" i="1"/>
  <c r="N95" i="1" s="1"/>
  <c r="N94" i="1"/>
  <c r="N60" i="1"/>
  <c r="N26" i="1"/>
  <c r="N132" i="1" s="1"/>
  <c r="N15" i="1"/>
  <c r="N5" i="1"/>
  <c r="L152" i="1"/>
  <c r="N150" i="1" s="1"/>
  <c r="K95" i="1"/>
  <c r="L95" i="1" s="1"/>
  <c r="L94" i="1"/>
  <c r="L60" i="1"/>
  <c r="L26" i="1"/>
  <c r="L15" i="1"/>
  <c r="L5" i="1"/>
  <c r="I95" i="1"/>
  <c r="J152" i="1"/>
  <c r="L150" i="1" s="1"/>
  <c r="J95" i="1"/>
  <c r="J94" i="1"/>
  <c r="J60" i="1"/>
  <c r="J26" i="1"/>
  <c r="J15" i="1"/>
  <c r="J5" i="1"/>
  <c r="I33" i="1"/>
  <c r="H152" i="1"/>
  <c r="J150" i="1" s="1"/>
  <c r="C132" i="1"/>
  <c r="C133" i="1"/>
  <c r="G84" i="1"/>
  <c r="G81" i="1"/>
  <c r="G82" i="1"/>
  <c r="G33" i="1"/>
  <c r="H26" i="1"/>
  <c r="J132" i="1" s="1"/>
  <c r="H15" i="1"/>
  <c r="G10" i="1"/>
  <c r="G9" i="1"/>
  <c r="G8" i="1"/>
  <c r="G7" i="1"/>
  <c r="G6" i="1"/>
  <c r="G17" i="1"/>
  <c r="H17" i="1" s="1"/>
  <c r="G74" i="1" s="1"/>
  <c r="H74" i="1" s="1"/>
  <c r="H107" i="1" s="1"/>
  <c r="G16" i="1"/>
  <c r="H16" i="1" s="1"/>
  <c r="G19" i="1"/>
  <c r="G25" i="1"/>
  <c r="G24" i="1"/>
  <c r="G38" i="1"/>
  <c r="G37" i="1"/>
  <c r="G36" i="1"/>
  <c r="G35" i="1"/>
  <c r="G34" i="1"/>
  <c r="G44" i="1"/>
  <c r="G46" i="1"/>
  <c r="G45" i="1"/>
  <c r="H5" i="1"/>
  <c r="H82" i="1" s="1"/>
  <c r="I82" i="1" s="1"/>
  <c r="H60" i="1"/>
  <c r="H55" i="1"/>
  <c r="J55" i="1" s="1"/>
  <c r="L55" i="1" s="1"/>
  <c r="N55" i="1" s="1"/>
  <c r="P55" i="1" s="1"/>
  <c r="H54" i="1"/>
  <c r="H53" i="1"/>
  <c r="J53" i="1" s="1"/>
  <c r="L53" i="1" s="1"/>
  <c r="N53" i="1" s="1"/>
  <c r="P53" i="1" s="1"/>
  <c r="C95" i="1"/>
  <c r="C99" i="1" s="1"/>
  <c r="H95" i="1"/>
  <c r="H94" i="1"/>
  <c r="H68" i="1"/>
  <c r="J68" i="1" s="1"/>
  <c r="L68" i="1" s="1"/>
  <c r="C107" i="1"/>
  <c r="C108" i="1"/>
  <c r="C109" i="1"/>
  <c r="C110" i="1"/>
  <c r="C113" i="1"/>
  <c r="C114" i="1"/>
  <c r="C115" i="1"/>
  <c r="C116" i="1"/>
  <c r="C117" i="1"/>
  <c r="C120" i="1"/>
  <c r="C121" i="1"/>
  <c r="C122" i="1"/>
  <c r="C123" i="1"/>
  <c r="C124" i="1"/>
  <c r="C130" i="1"/>
  <c r="C131" i="1"/>
  <c r="C134" i="1"/>
  <c r="C140" i="1"/>
  <c r="C142" i="1"/>
  <c r="C150" i="1"/>
  <c r="D68" i="1"/>
  <c r="D69" i="1"/>
  <c r="D72" i="1"/>
  <c r="D73" i="1"/>
  <c r="H73" i="1" s="1"/>
  <c r="I73" i="1" s="1"/>
  <c r="J73" i="1" s="1"/>
  <c r="K73" i="1" s="1"/>
  <c r="D74" i="1"/>
  <c r="D75" i="1"/>
  <c r="D76" i="1"/>
  <c r="C78" i="1"/>
  <c r="D78" i="1" s="1"/>
  <c r="D81" i="1"/>
  <c r="D82" i="1"/>
  <c r="D83" i="1"/>
  <c r="D84" i="1"/>
  <c r="C86" i="1"/>
  <c r="D86" i="1" s="1"/>
  <c r="D90" i="1"/>
  <c r="H72" i="1" l="1"/>
  <c r="I72" i="1" s="1"/>
  <c r="J72" i="1" s="1"/>
  <c r="K72" i="1" s="1"/>
  <c r="H84" i="1"/>
  <c r="I84" i="1" s="1"/>
  <c r="H69" i="1"/>
  <c r="I69" i="1" s="1"/>
  <c r="J69" i="1" s="1"/>
  <c r="K69" i="1" s="1"/>
  <c r="H132" i="1"/>
  <c r="P130" i="1"/>
  <c r="H75" i="1"/>
  <c r="I75" i="1" s="1"/>
  <c r="J97" i="1"/>
  <c r="L97" i="1" s="1"/>
  <c r="N97" i="1" s="1"/>
  <c r="P97" i="1" s="1"/>
  <c r="L72" i="1"/>
  <c r="M72" i="1" s="1"/>
  <c r="N72" i="1" s="1"/>
  <c r="O72" i="1" s="1"/>
  <c r="N68" i="1"/>
  <c r="J54" i="1"/>
  <c r="L54" i="1" s="1"/>
  <c r="N54" i="1" s="1"/>
  <c r="H109" i="1"/>
  <c r="J75" i="1"/>
  <c r="K75" i="1" s="1"/>
  <c r="L75" i="1" s="1"/>
  <c r="M75" i="1" s="1"/>
  <c r="N75" i="1" s="1"/>
  <c r="O75" i="1" s="1"/>
  <c r="J130" i="1"/>
  <c r="L132" i="1"/>
  <c r="P132" i="1"/>
  <c r="H98" i="1"/>
  <c r="J98" i="1" s="1"/>
  <c r="L98" i="1" s="1"/>
  <c r="N98" i="1" s="1"/>
  <c r="P98" i="1" s="1"/>
  <c r="P99" i="1"/>
  <c r="H99" i="1"/>
  <c r="N130" i="1"/>
  <c r="L130" i="1"/>
  <c r="H130" i="1"/>
  <c r="L73" i="1"/>
  <c r="M73" i="1" s="1"/>
  <c r="N73" i="1" s="1"/>
  <c r="O73" i="1" s="1"/>
  <c r="L69" i="1"/>
  <c r="M69" i="1" s="1"/>
  <c r="N69" i="1" s="1"/>
  <c r="O69" i="1" s="1"/>
  <c r="J99" i="1"/>
  <c r="J82" i="1"/>
  <c r="K82" i="1" s="1"/>
  <c r="L82" i="1" s="1"/>
  <c r="M82" i="1" s="1"/>
  <c r="N82" i="1" s="1"/>
  <c r="O82" i="1" s="1"/>
  <c r="P82" i="1" s="1"/>
  <c r="J84" i="1"/>
  <c r="H142" i="1"/>
  <c r="H7" i="1"/>
  <c r="H9" i="1"/>
  <c r="H25" i="1"/>
  <c r="I25" i="1" s="1"/>
  <c r="J25" i="1" s="1"/>
  <c r="K25" i="1" s="1"/>
  <c r="L25" i="1" s="1"/>
  <c r="M25" i="1" s="1"/>
  <c r="N25" i="1" s="1"/>
  <c r="O25" i="1" s="1"/>
  <c r="H34" i="1"/>
  <c r="H36" i="1"/>
  <c r="H38" i="1"/>
  <c r="H45" i="1"/>
  <c r="I45" i="1" s="1"/>
  <c r="J45" i="1" s="1"/>
  <c r="K45" i="1" s="1"/>
  <c r="L45" i="1" s="1"/>
  <c r="M45" i="1" s="1"/>
  <c r="N45" i="1" s="1"/>
  <c r="O45" i="1" s="1"/>
  <c r="H76" i="1"/>
  <c r="I76" i="1" s="1"/>
  <c r="J76" i="1" s="1"/>
  <c r="K76" i="1" s="1"/>
  <c r="L76" i="1" s="1"/>
  <c r="M76" i="1" s="1"/>
  <c r="H6" i="1"/>
  <c r="H8" i="1"/>
  <c r="H10" i="1"/>
  <c r="H18" i="1"/>
  <c r="H21" i="1" s="1"/>
  <c r="H19" i="1"/>
  <c r="H24" i="1"/>
  <c r="H35" i="1"/>
  <c r="H37" i="1"/>
  <c r="H44" i="1"/>
  <c r="I44" i="1" s="1"/>
  <c r="J44" i="1" s="1"/>
  <c r="K44" i="1" s="1"/>
  <c r="L44" i="1" s="1"/>
  <c r="M44" i="1" s="1"/>
  <c r="H46" i="1"/>
  <c r="I46" i="1" s="1"/>
  <c r="J46" i="1" s="1"/>
  <c r="K46" i="1" s="1"/>
  <c r="L46" i="1" s="1"/>
  <c r="M46" i="1" s="1"/>
  <c r="N46" i="1" s="1"/>
  <c r="O46" i="1" s="1"/>
  <c r="C88" i="1"/>
  <c r="C105" i="1" s="1"/>
  <c r="C126" i="1" s="1"/>
  <c r="H83" i="1"/>
  <c r="H90" i="1"/>
  <c r="I90" i="1" s="1"/>
  <c r="J90" i="1" s="1"/>
  <c r="K90" i="1" s="1"/>
  <c r="L90" i="1" s="1"/>
  <c r="M90" i="1" s="1"/>
  <c r="N90" i="1" s="1"/>
  <c r="O90" i="1" s="1"/>
  <c r="C145" i="1"/>
  <c r="H78" i="1"/>
  <c r="C136" i="1"/>
  <c r="E58" i="1"/>
  <c r="E62" i="1" s="1"/>
  <c r="E49" i="1"/>
  <c r="E40" i="1"/>
  <c r="E18" i="1"/>
  <c r="E21" i="1" s="1"/>
  <c r="E12" i="1"/>
  <c r="C58" i="1"/>
  <c r="C62" i="1" s="1"/>
  <c r="C49" i="1"/>
  <c r="C40" i="1"/>
  <c r="C18" i="1"/>
  <c r="C21" i="1" s="1"/>
  <c r="C12" i="1"/>
  <c r="I37" i="1" l="1"/>
  <c r="J37" i="1" s="1"/>
  <c r="K37" i="1" s="1"/>
  <c r="L37" i="1" s="1"/>
  <c r="H123" i="1"/>
  <c r="I24" i="1"/>
  <c r="J24" i="1" s="1"/>
  <c r="J134" i="1" s="1"/>
  <c r="H134" i="1"/>
  <c r="I8" i="1"/>
  <c r="J8" i="1" s="1"/>
  <c r="K8" i="1" s="1"/>
  <c r="L8" i="1" s="1"/>
  <c r="H115" i="1"/>
  <c r="I38" i="1"/>
  <c r="J38" i="1" s="1"/>
  <c r="K38" i="1" s="1"/>
  <c r="L38" i="1" s="1"/>
  <c r="H124" i="1"/>
  <c r="J120" i="1"/>
  <c r="I34" i="1"/>
  <c r="J34" i="1" s="1"/>
  <c r="K34" i="1" s="1"/>
  <c r="L34" i="1" s="1"/>
  <c r="H120" i="1"/>
  <c r="I9" i="1"/>
  <c r="J9" i="1" s="1"/>
  <c r="K9" i="1" s="1"/>
  <c r="L9" i="1" s="1"/>
  <c r="H116" i="1"/>
  <c r="J109" i="1"/>
  <c r="K84" i="1"/>
  <c r="L84" i="1" s="1"/>
  <c r="N142" i="1"/>
  <c r="P54" i="1"/>
  <c r="P142" i="1" s="1"/>
  <c r="N76" i="1"/>
  <c r="O76" i="1" s="1"/>
  <c r="P68" i="1"/>
  <c r="P72" i="1" s="1"/>
  <c r="I83" i="1"/>
  <c r="J83" i="1" s="1"/>
  <c r="H108" i="1"/>
  <c r="H12" i="1"/>
  <c r="N44" i="1"/>
  <c r="O44" i="1" s="1"/>
  <c r="P44" i="1" s="1"/>
  <c r="I35" i="1"/>
  <c r="J35" i="1" s="1"/>
  <c r="K35" i="1" s="1"/>
  <c r="L35" i="1" s="1"/>
  <c r="J121" i="1"/>
  <c r="H121" i="1"/>
  <c r="J133" i="1"/>
  <c r="I19" i="1"/>
  <c r="J19" i="1" s="1"/>
  <c r="K19" i="1" s="1"/>
  <c r="L19" i="1" s="1"/>
  <c r="H133" i="1"/>
  <c r="H117" i="1"/>
  <c r="J117" i="1"/>
  <c r="I10" i="1"/>
  <c r="J10" i="1" s="1"/>
  <c r="K10" i="1" s="1"/>
  <c r="L10" i="1" s="1"/>
  <c r="I6" i="1"/>
  <c r="J6" i="1" s="1"/>
  <c r="J113" i="1" s="1"/>
  <c r="H113" i="1"/>
  <c r="I36" i="1"/>
  <c r="J36" i="1" s="1"/>
  <c r="K36" i="1" s="1"/>
  <c r="L36" i="1" s="1"/>
  <c r="H122" i="1"/>
  <c r="I7" i="1"/>
  <c r="J7" i="1" s="1"/>
  <c r="K7" i="1" s="1"/>
  <c r="L7" i="1" s="1"/>
  <c r="H114" i="1"/>
  <c r="L142" i="1"/>
  <c r="J142" i="1"/>
  <c r="L99" i="1"/>
  <c r="N99" i="1"/>
  <c r="I16" i="1"/>
  <c r="I17" i="1"/>
  <c r="J17" i="1" s="1"/>
  <c r="I74" i="1" s="1"/>
  <c r="J74" i="1" s="1"/>
  <c r="J78" i="1" s="1"/>
  <c r="H131" i="1"/>
  <c r="J12" i="1"/>
  <c r="H28" i="1"/>
  <c r="D88" i="1"/>
  <c r="C92" i="1"/>
  <c r="C148" i="1"/>
  <c r="C152" i="1" s="1"/>
  <c r="H150" i="1" s="1"/>
  <c r="E64" i="1"/>
  <c r="E28" i="1"/>
  <c r="F62" i="1" s="1"/>
  <c r="C64" i="1"/>
  <c r="C28" i="1"/>
  <c r="D40" i="1" s="1"/>
  <c r="J107" i="1" l="1"/>
  <c r="J115" i="1"/>
  <c r="J123" i="1"/>
  <c r="H136" i="1"/>
  <c r="J114" i="1"/>
  <c r="J18" i="1"/>
  <c r="J21" i="1" s="1"/>
  <c r="J16" i="1"/>
  <c r="L122" i="1"/>
  <c r="M36" i="1"/>
  <c r="N36" i="1" s="1"/>
  <c r="K6" i="1"/>
  <c r="L6" i="1" s="1"/>
  <c r="P45" i="1"/>
  <c r="L116" i="1"/>
  <c r="M9" i="1"/>
  <c r="N9" i="1" s="1"/>
  <c r="L124" i="1"/>
  <c r="M38" i="1"/>
  <c r="N38" i="1" s="1"/>
  <c r="L123" i="1"/>
  <c r="M37" i="1"/>
  <c r="N37" i="1" s="1"/>
  <c r="P90" i="1"/>
  <c r="P73" i="1"/>
  <c r="P25" i="1"/>
  <c r="L114" i="1"/>
  <c r="M7" i="1"/>
  <c r="N7" i="1" s="1"/>
  <c r="J122" i="1"/>
  <c r="L117" i="1"/>
  <c r="M10" i="1"/>
  <c r="N10" i="1" s="1"/>
  <c r="L133" i="1"/>
  <c r="M19" i="1"/>
  <c r="N19" i="1" s="1"/>
  <c r="L121" i="1"/>
  <c r="M35" i="1"/>
  <c r="N35" i="1" s="1"/>
  <c r="K83" i="1"/>
  <c r="L83" i="1" s="1"/>
  <c r="J108" i="1"/>
  <c r="P76" i="1"/>
  <c r="L109" i="1"/>
  <c r="M84" i="1"/>
  <c r="N84" i="1" s="1"/>
  <c r="J116" i="1"/>
  <c r="L120" i="1"/>
  <c r="M34" i="1"/>
  <c r="N34" i="1" s="1"/>
  <c r="J124" i="1"/>
  <c r="L115" i="1"/>
  <c r="M8" i="1"/>
  <c r="N8" i="1" s="1"/>
  <c r="K24" i="1"/>
  <c r="L24" i="1" s="1"/>
  <c r="M24" i="1" s="1"/>
  <c r="N24" i="1" s="1"/>
  <c r="P46" i="1"/>
  <c r="P75" i="1"/>
  <c r="P69" i="1"/>
  <c r="J131" i="1"/>
  <c r="J136" i="1" s="1"/>
  <c r="K16" i="1"/>
  <c r="L16" i="1" s="1"/>
  <c r="K17" i="1"/>
  <c r="L17" i="1" s="1"/>
  <c r="K74" i="1" s="1"/>
  <c r="L74" i="1" s="1"/>
  <c r="J28" i="1"/>
  <c r="D92" i="1"/>
  <c r="C100" i="1"/>
  <c r="F58" i="1"/>
  <c r="F12" i="1"/>
  <c r="F18" i="1"/>
  <c r="F40" i="1"/>
  <c r="F49" i="1"/>
  <c r="F56" i="1"/>
  <c r="F54" i="1"/>
  <c r="F45" i="1"/>
  <c r="F38" i="1"/>
  <c r="F36" i="1"/>
  <c r="F34" i="1"/>
  <c r="F28" i="1"/>
  <c r="F26" i="1"/>
  <c r="F24" i="1"/>
  <c r="F17" i="1"/>
  <c r="F15" i="1"/>
  <c r="F9" i="1"/>
  <c r="F7" i="1"/>
  <c r="F5" i="1"/>
  <c r="F60" i="1"/>
  <c r="F55" i="1"/>
  <c r="F53" i="1"/>
  <c r="F46" i="1"/>
  <c r="F43" i="1"/>
  <c r="F37" i="1"/>
  <c r="F35" i="1"/>
  <c r="F33" i="1"/>
  <c r="F25" i="1"/>
  <c r="F19" i="1"/>
  <c r="F16" i="1"/>
  <c r="F10" i="1"/>
  <c r="F8" i="1"/>
  <c r="F6" i="1"/>
  <c r="F21" i="1"/>
  <c r="F64" i="1"/>
  <c r="D58" i="1"/>
  <c r="D56" i="1"/>
  <c r="D54" i="1"/>
  <c r="D45" i="1"/>
  <c r="D38" i="1"/>
  <c r="D36" i="1"/>
  <c r="D34" i="1"/>
  <c r="D28" i="1"/>
  <c r="D26" i="1"/>
  <c r="D24" i="1"/>
  <c r="D17" i="1"/>
  <c r="D15" i="1"/>
  <c r="D9" i="1"/>
  <c r="D7" i="1"/>
  <c r="D5" i="1"/>
  <c r="D60" i="1"/>
  <c r="D55" i="1"/>
  <c r="D53" i="1"/>
  <c r="D49" i="1"/>
  <c r="D46" i="1"/>
  <c r="D43" i="1"/>
  <c r="D37" i="1"/>
  <c r="D35" i="1"/>
  <c r="D33" i="1"/>
  <c r="D25" i="1"/>
  <c r="D19" i="1"/>
  <c r="D16" i="1"/>
  <c r="D12" i="1"/>
  <c r="D10" i="1"/>
  <c r="D8" i="1"/>
  <c r="D6" i="1"/>
  <c r="D64" i="1"/>
  <c r="D18" i="1"/>
  <c r="D21" i="1"/>
  <c r="D62" i="1"/>
  <c r="N134" i="1" l="1"/>
  <c r="O24" i="1"/>
  <c r="P24" i="1" s="1"/>
  <c r="P134" i="1" s="1"/>
  <c r="N120" i="1"/>
  <c r="O34" i="1"/>
  <c r="P34" i="1" s="1"/>
  <c r="P120" i="1" s="1"/>
  <c r="N121" i="1"/>
  <c r="O35" i="1"/>
  <c r="P35" i="1" s="1"/>
  <c r="P121" i="1" s="1"/>
  <c r="N133" i="1"/>
  <c r="O19" i="1"/>
  <c r="P19" i="1" s="1"/>
  <c r="N117" i="1"/>
  <c r="O10" i="1"/>
  <c r="P10" i="1" s="1"/>
  <c r="P117" i="1" s="1"/>
  <c r="N123" i="1"/>
  <c r="O37" i="1"/>
  <c r="P37" i="1" s="1"/>
  <c r="P123" i="1" s="1"/>
  <c r="N124" i="1"/>
  <c r="O38" i="1"/>
  <c r="P38" i="1" s="1"/>
  <c r="P124" i="1" s="1"/>
  <c r="N116" i="1"/>
  <c r="O9" i="1"/>
  <c r="P9" i="1" s="1"/>
  <c r="P116" i="1" s="1"/>
  <c r="M6" i="1"/>
  <c r="N6" i="1" s="1"/>
  <c r="L12" i="1"/>
  <c r="N113" i="1"/>
  <c r="L134" i="1"/>
  <c r="N115" i="1"/>
  <c r="O8" i="1"/>
  <c r="P8" i="1" s="1"/>
  <c r="P115" i="1" s="1"/>
  <c r="N109" i="1"/>
  <c r="O84" i="1"/>
  <c r="P84" i="1" s="1"/>
  <c r="P109" i="1" s="1"/>
  <c r="L108" i="1"/>
  <c r="M83" i="1"/>
  <c r="N83" i="1" s="1"/>
  <c r="N114" i="1"/>
  <c r="O7" i="1"/>
  <c r="P7" i="1" s="1"/>
  <c r="P114" i="1" s="1"/>
  <c r="L113" i="1"/>
  <c r="N122" i="1"/>
  <c r="O36" i="1"/>
  <c r="P36" i="1" s="1"/>
  <c r="P122" i="1" s="1"/>
  <c r="L107" i="1"/>
  <c r="M17" i="1"/>
  <c r="N17" i="1" s="1"/>
  <c r="M74" i="1" s="1"/>
  <c r="N74" i="1" s="1"/>
  <c r="L78" i="1"/>
  <c r="M16" i="1"/>
  <c r="N16" i="1" s="1"/>
  <c r="L18" i="1"/>
  <c r="L21" i="1" s="1"/>
  <c r="L28" i="1" s="1"/>
  <c r="L131" i="1"/>
  <c r="C101" i="1"/>
  <c r="L136" i="1" l="1"/>
  <c r="N108" i="1"/>
  <c r="O83" i="1"/>
  <c r="P83" i="1" s="1"/>
  <c r="P108" i="1" s="1"/>
  <c r="N131" i="1"/>
  <c r="N136" i="1" s="1"/>
  <c r="O16" i="1"/>
  <c r="P16" i="1" s="1"/>
  <c r="O17" i="1"/>
  <c r="P17" i="1" s="1"/>
  <c r="O74" i="1" s="1"/>
  <c r="P74" i="1" s="1"/>
  <c r="O6" i="1"/>
  <c r="P6" i="1" s="1"/>
  <c r="P12" i="1" s="1"/>
  <c r="P113" i="1"/>
  <c r="N12" i="1"/>
  <c r="P133" i="1"/>
  <c r="N18" i="1"/>
  <c r="N21" i="1" s="1"/>
  <c r="N28" i="1" s="1"/>
  <c r="N107" i="1"/>
  <c r="N78" i="1"/>
  <c r="P107" i="1" l="1"/>
  <c r="P78" i="1"/>
  <c r="P18" i="1"/>
  <c r="P21" i="1" s="1"/>
  <c r="P28" i="1" s="1"/>
  <c r="P131" i="1"/>
  <c r="P136" i="1" s="1"/>
  <c r="H33" i="1" l="1"/>
  <c r="J33" i="1"/>
  <c r="K33" i="1"/>
  <c r="L33" i="1"/>
  <c r="M33" i="1"/>
  <c r="N33" i="1"/>
  <c r="O33" i="1"/>
  <c r="P33" i="1"/>
  <c r="H40" i="1"/>
  <c r="J40" i="1"/>
  <c r="L40" i="1"/>
  <c r="N40" i="1"/>
  <c r="P40" i="1"/>
  <c r="G43" i="1"/>
  <c r="H43" i="1"/>
  <c r="I43" i="1"/>
  <c r="J43" i="1"/>
  <c r="K43" i="1"/>
  <c r="L43" i="1"/>
  <c r="M43" i="1"/>
  <c r="N43" i="1"/>
  <c r="O43" i="1"/>
  <c r="P43" i="1"/>
  <c r="H49" i="1"/>
  <c r="J49" i="1"/>
  <c r="L49" i="1"/>
  <c r="N49" i="1"/>
  <c r="P49" i="1"/>
  <c r="H56" i="1"/>
  <c r="J56" i="1"/>
  <c r="L56" i="1"/>
  <c r="N56" i="1"/>
  <c r="P56" i="1"/>
  <c r="H58" i="1"/>
  <c r="J58" i="1"/>
  <c r="L58" i="1"/>
  <c r="N58" i="1"/>
  <c r="P58" i="1"/>
  <c r="H62" i="1"/>
  <c r="J62" i="1"/>
  <c r="L62" i="1"/>
  <c r="N62" i="1"/>
  <c r="P62" i="1"/>
  <c r="H64" i="1"/>
  <c r="J64" i="1"/>
  <c r="L64" i="1"/>
  <c r="N64" i="1"/>
  <c r="P64" i="1"/>
  <c r="H81" i="1"/>
  <c r="I81" i="1"/>
  <c r="J81" i="1"/>
  <c r="K81" i="1"/>
  <c r="L81" i="1"/>
  <c r="M81" i="1"/>
  <c r="N81" i="1"/>
  <c r="O81" i="1"/>
  <c r="P81" i="1"/>
  <c r="H86" i="1"/>
  <c r="J86" i="1"/>
  <c r="L86" i="1"/>
  <c r="N86" i="1"/>
  <c r="P86" i="1"/>
  <c r="H88" i="1"/>
  <c r="J88" i="1"/>
  <c r="L88" i="1"/>
  <c r="N88" i="1"/>
  <c r="P88" i="1"/>
  <c r="H92" i="1"/>
  <c r="J92" i="1"/>
  <c r="L92" i="1"/>
  <c r="N92" i="1"/>
  <c r="P92" i="1"/>
  <c r="H100" i="1"/>
  <c r="J100" i="1"/>
  <c r="L100" i="1"/>
  <c r="N100" i="1"/>
  <c r="P100" i="1"/>
  <c r="H101" i="1"/>
  <c r="J101" i="1"/>
  <c r="L101" i="1"/>
  <c r="N101" i="1"/>
  <c r="P101" i="1"/>
  <c r="H105" i="1"/>
  <c r="J105" i="1"/>
  <c r="L105" i="1"/>
  <c r="N105" i="1"/>
  <c r="P105" i="1"/>
  <c r="H110" i="1"/>
  <c r="J110" i="1"/>
  <c r="L110" i="1"/>
  <c r="N110" i="1"/>
  <c r="P110" i="1"/>
  <c r="H126" i="1"/>
  <c r="J126" i="1"/>
  <c r="L126" i="1"/>
  <c r="N126" i="1"/>
  <c r="P126" i="1"/>
  <c r="H140" i="1"/>
  <c r="J140" i="1"/>
  <c r="L140" i="1"/>
  <c r="N140" i="1"/>
  <c r="P140" i="1"/>
  <c r="H143" i="1"/>
  <c r="J143" i="1"/>
  <c r="L143" i="1"/>
  <c r="N143" i="1"/>
  <c r="P143" i="1"/>
  <c r="H145" i="1"/>
  <c r="J145" i="1"/>
  <c r="L145" i="1"/>
  <c r="N145" i="1"/>
  <c r="P145" i="1"/>
  <c r="H148" i="1"/>
  <c r="J148" i="1"/>
  <c r="L148" i="1"/>
  <c r="N148" i="1"/>
  <c r="P1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Kostas Liapis</author>
  </authors>
  <commentList>
    <comment ref="G1" authorId="0" shapeId="0" xr:uid="{00000000-0006-0000-0000-000001000000}">
      <text>
        <r>
          <rPr>
            <b/>
            <sz val="9"/>
            <color indexed="81"/>
            <rFont val="Tahoma"/>
            <family val="2"/>
            <charset val="161"/>
          </rPr>
          <t>Kostas Liapis:</t>
        </r>
        <r>
          <rPr>
            <sz val="9"/>
            <color indexed="81"/>
            <rFont val="Tahoma"/>
            <family val="2"/>
            <charset val="161"/>
          </rPr>
          <t xml:space="preserve">
παρέχονται διευκρινήσεις σε όλες τις στήλες
ΠΡΟΣΟΧΗ ΛΟΓΟ ΤΗΣ ΥΠΑΡΞΗΣ Reciprocal calculations
πρέπει από στο start  του Excel να πάτε στο Excel options και από τις Formulas να ενεργοποιήσετε  το Enable Interactive Calculations</t>
        </r>
      </text>
    </comment>
    <comment ref="G5" authorId="0" shapeId="0" xr:uid="{00000000-0006-0000-0000-000002000000}">
      <text>
        <r>
          <rPr>
            <b/>
            <sz val="9"/>
            <color indexed="81"/>
            <rFont val="Tahoma"/>
            <family val="2"/>
            <charset val="161"/>
          </rPr>
          <t>Kostas Liapis:</t>
        </r>
        <r>
          <rPr>
            <sz val="9"/>
            <color indexed="81"/>
            <rFont val="Tahoma"/>
            <family val="2"/>
            <charset val="161"/>
          </rPr>
          <t xml:space="preserve">
καταχωρείτε τα ταμειακά διαθέσιμα αναγκαία - ως ταμειακό απόθεμα</t>
        </r>
      </text>
    </comment>
    <comment ref="G6" authorId="0" shapeId="0" xr:uid="{00000000-0006-0000-0000-000003000000}">
      <text>
        <r>
          <rPr>
            <b/>
            <sz val="9"/>
            <color indexed="81"/>
            <rFont val="Tahoma"/>
            <family val="2"/>
            <charset val="161"/>
          </rPr>
          <t>Kostas Liapis:</t>
        </r>
        <r>
          <rPr>
            <sz val="9"/>
            <color indexed="81"/>
            <rFont val="Tahoma"/>
            <family val="2"/>
            <charset val="161"/>
          </rPr>
          <t xml:space="preserve">
ποσοστό επί των εσόδων</t>
        </r>
      </text>
    </comment>
    <comment ref="G7" authorId="0" shapeId="0" xr:uid="{00000000-0006-0000-0000-000004000000}">
      <text>
        <r>
          <rPr>
            <b/>
            <sz val="9"/>
            <color indexed="81"/>
            <rFont val="Tahoma"/>
            <family val="2"/>
            <charset val="161"/>
          </rPr>
          <t>Kostas Liapis:</t>
        </r>
        <r>
          <rPr>
            <sz val="9"/>
            <color indexed="81"/>
            <rFont val="Tahoma"/>
            <family val="2"/>
            <charset val="161"/>
          </rPr>
          <t xml:space="preserve">
ποσοστό επί των εσόδων</t>
        </r>
      </text>
    </comment>
    <comment ref="G8" authorId="0" shapeId="0" xr:uid="{00000000-0006-0000-0000-000005000000}">
      <text>
        <r>
          <rPr>
            <b/>
            <sz val="9"/>
            <color indexed="81"/>
            <rFont val="Tahoma"/>
            <family val="2"/>
            <charset val="161"/>
          </rPr>
          <t>Kostas Liapis:</t>
        </r>
        <r>
          <rPr>
            <sz val="9"/>
            <color indexed="81"/>
            <rFont val="Tahoma"/>
            <family val="2"/>
            <charset val="161"/>
          </rPr>
          <t xml:space="preserve">
ποσοστό επί των εσόδων</t>
        </r>
      </text>
    </comment>
    <comment ref="G9" authorId="0" shapeId="0" xr:uid="{00000000-0006-0000-0000-000006000000}">
      <text>
        <r>
          <rPr>
            <b/>
            <sz val="9"/>
            <color indexed="81"/>
            <rFont val="Tahoma"/>
            <family val="2"/>
            <charset val="161"/>
          </rPr>
          <t>Kostas Liapis:</t>
        </r>
        <r>
          <rPr>
            <sz val="9"/>
            <color indexed="81"/>
            <rFont val="Tahoma"/>
            <family val="2"/>
            <charset val="161"/>
          </rPr>
          <t xml:space="preserve">
ποσοστό επί των εσόδων</t>
        </r>
      </text>
    </comment>
    <comment ref="G10" authorId="0" shapeId="0" xr:uid="{00000000-0006-0000-0000-000007000000}">
      <text>
        <r>
          <rPr>
            <b/>
            <sz val="9"/>
            <color indexed="81"/>
            <rFont val="Tahoma"/>
            <family val="2"/>
            <charset val="161"/>
          </rPr>
          <t>Kostas Liapis:</t>
        </r>
        <r>
          <rPr>
            <sz val="9"/>
            <color indexed="81"/>
            <rFont val="Tahoma"/>
            <family val="2"/>
            <charset val="161"/>
          </rPr>
          <t xml:space="preserve">
ποσοστό επί των εσόδων</t>
        </r>
      </text>
    </comment>
    <comment ref="G15" authorId="0" shapeId="0" xr:uid="{00000000-0006-0000-0000-000008000000}">
      <text>
        <r>
          <rPr>
            <b/>
            <sz val="9"/>
            <color indexed="81"/>
            <rFont val="Tahoma"/>
            <family val="2"/>
            <charset val="161"/>
          </rPr>
          <t>Kostas Liapis:</t>
        </r>
        <r>
          <rPr>
            <sz val="9"/>
            <color indexed="81"/>
            <rFont val="Tahoma"/>
            <family val="2"/>
            <charset val="161"/>
          </rPr>
          <t xml:space="preserve">
προυπολογίζετε τις προκαταβολές για επενδύσεις σε πλοία</t>
        </r>
      </text>
    </comment>
    <comment ref="G16" authorId="0" shapeId="0" xr:uid="{00000000-0006-0000-0000-000009000000}">
      <text>
        <r>
          <rPr>
            <b/>
            <sz val="9"/>
            <color indexed="81"/>
            <rFont val="Tahoma"/>
            <family val="2"/>
            <charset val="161"/>
          </rPr>
          <t>Kostas Liapis:</t>
        </r>
        <r>
          <rPr>
            <sz val="9"/>
            <color indexed="81"/>
            <rFont val="Tahoma"/>
            <family val="2"/>
            <charset val="161"/>
          </rPr>
          <t xml:space="preserve">
ποσοστό επί των εσόδων</t>
        </r>
      </text>
    </comment>
    <comment ref="H16" authorId="0" shapeId="0" xr:uid="{00000000-0006-0000-0000-00000A000000}">
      <text>
        <r>
          <rPr>
            <b/>
            <sz val="9"/>
            <color indexed="81"/>
            <rFont val="Tahoma"/>
            <family val="2"/>
            <charset val="161"/>
          </rPr>
          <t>Kostas Liapis:</t>
        </r>
        <r>
          <rPr>
            <sz val="9"/>
            <color indexed="81"/>
            <rFont val="Tahoma"/>
            <family val="2"/>
            <charset val="161"/>
          </rPr>
          <t xml:space="preserve">
υπολογίζεται ως αναλογία για την επίτευξη των εσόδων συν την μεταβολή στις προκαταβολές για πλοία</t>
        </r>
      </text>
    </comment>
    <comment ref="G17" authorId="0" shapeId="0" xr:uid="{00000000-0006-0000-0000-00000B000000}">
      <text>
        <r>
          <rPr>
            <b/>
            <sz val="9"/>
            <color indexed="81"/>
            <rFont val="Tahoma"/>
            <family val="2"/>
            <charset val="161"/>
          </rPr>
          <t>Kostas Liapis:</t>
        </r>
        <r>
          <rPr>
            <sz val="9"/>
            <color indexed="81"/>
            <rFont val="Tahoma"/>
            <family val="2"/>
            <charset val="161"/>
          </rPr>
          <t xml:space="preserve">
μέσος συντελεστής απόσβεσης = αποσβέσεις από τον πίνακα αποτελεσμάτων χρήσης προς μέσο όρο αξίας σκαφών</t>
        </r>
      </text>
    </comment>
    <comment ref="H17" authorId="0" shapeId="0" xr:uid="{00000000-0006-0000-0000-00000C000000}">
      <text>
        <r>
          <rPr>
            <b/>
            <sz val="9"/>
            <color indexed="81"/>
            <rFont val="Tahoma"/>
            <family val="2"/>
            <charset val="161"/>
          </rPr>
          <t>Kostas Liapis:</t>
        </r>
        <r>
          <rPr>
            <sz val="9"/>
            <color indexed="81"/>
            <rFont val="Tahoma"/>
            <family val="2"/>
            <charset val="161"/>
          </rPr>
          <t xml:space="preserve">
προηγούμενες αποσβέσεις συν αποσβέσεις τρέχοντος έτους</t>
        </r>
      </text>
    </comment>
    <comment ref="G19" authorId="0" shapeId="0" xr:uid="{00000000-0006-0000-0000-00000D000000}">
      <text>
        <r>
          <rPr>
            <b/>
            <sz val="9"/>
            <color indexed="81"/>
            <rFont val="Tahoma"/>
            <family val="2"/>
            <charset val="161"/>
          </rPr>
          <t>Kostas Liapis:</t>
        </r>
        <r>
          <rPr>
            <sz val="9"/>
            <color indexed="81"/>
            <rFont val="Tahoma"/>
            <family val="2"/>
            <charset val="161"/>
          </rPr>
          <t xml:space="preserve">
ποσοστό επί των εσόδων</t>
        </r>
      </text>
    </comment>
    <comment ref="G24" authorId="0" shapeId="0" xr:uid="{00000000-0006-0000-0000-00000E000000}">
      <text>
        <r>
          <rPr>
            <b/>
            <sz val="9"/>
            <color indexed="81"/>
            <rFont val="Tahoma"/>
            <family val="2"/>
            <charset val="161"/>
          </rPr>
          <t>Kostas Liapis:</t>
        </r>
        <r>
          <rPr>
            <sz val="9"/>
            <color indexed="81"/>
            <rFont val="Tahoma"/>
            <family val="2"/>
            <charset val="161"/>
          </rPr>
          <t xml:space="preserve">
Ποσοστό επί των εσόδων</t>
        </r>
      </text>
    </comment>
    <comment ref="G25" authorId="0" shapeId="0" xr:uid="{00000000-0006-0000-0000-00000F000000}">
      <text>
        <r>
          <rPr>
            <b/>
            <sz val="9"/>
            <color indexed="81"/>
            <rFont val="Tahoma"/>
            <family val="2"/>
            <charset val="161"/>
          </rPr>
          <t>Kostas Liapis:</t>
        </r>
        <r>
          <rPr>
            <sz val="9"/>
            <color indexed="81"/>
            <rFont val="Tahoma"/>
            <family val="2"/>
            <charset val="161"/>
          </rPr>
          <t xml:space="preserve">
ποσοστό επί των εσόδων</t>
        </r>
      </text>
    </comment>
    <comment ref="G26" authorId="0" shapeId="0" xr:uid="{00000000-0006-0000-0000-000010000000}">
      <text>
        <r>
          <rPr>
            <b/>
            <sz val="9"/>
            <color indexed="81"/>
            <rFont val="Tahoma"/>
            <family val="2"/>
            <charset val="161"/>
          </rPr>
          <t>Kostas Liapis:</t>
        </r>
        <r>
          <rPr>
            <sz val="9"/>
            <color indexed="81"/>
            <rFont val="Tahoma"/>
            <family val="2"/>
            <charset val="161"/>
          </rPr>
          <t xml:space="preserve">
προυπολογίζετε τις λοιπές επενδύσεις</t>
        </r>
      </text>
    </comment>
    <comment ref="G33" authorId="0" shapeId="0" xr:uid="{00000000-0006-0000-0000-000011000000}">
      <text>
        <r>
          <rPr>
            <b/>
            <sz val="9"/>
            <color indexed="81"/>
            <rFont val="Tahoma"/>
            <family val="2"/>
            <charset val="161"/>
          </rPr>
          <t>Kostas Liapis:</t>
        </r>
        <r>
          <rPr>
            <sz val="9"/>
            <color indexed="81"/>
            <rFont val="Tahoma"/>
            <family val="2"/>
            <charset val="161"/>
          </rPr>
          <t xml:space="preserve">
Αναλογία των βραχυπροθέσων δανείων στα μακροπρόθεσμα δανεια</t>
        </r>
      </text>
    </comment>
    <comment ref="H33" authorId="0" shapeId="0" xr:uid="{00000000-0006-0000-0000-000012000000}">
      <text>
        <r>
          <rPr>
            <b/>
            <sz val="9"/>
            <color indexed="81"/>
            <rFont val="Tahoma"/>
            <family val="2"/>
            <charset val="161"/>
          </rPr>
          <t>Kostas Liapis:</t>
        </r>
        <r>
          <rPr>
            <sz val="9"/>
            <color indexed="81"/>
            <rFont val="Tahoma"/>
            <family val="2"/>
            <charset val="161"/>
          </rPr>
          <t xml:space="preserve">
αναλογια βραχυπροθέσμων δανείων στα συνολικά αναγκαία</t>
        </r>
      </text>
    </comment>
    <comment ref="G34" authorId="0" shapeId="0" xr:uid="{00000000-0006-0000-0000-000013000000}">
      <text>
        <r>
          <rPr>
            <b/>
            <sz val="9"/>
            <color indexed="81"/>
            <rFont val="Tahoma"/>
            <family val="2"/>
            <charset val="161"/>
          </rPr>
          <t>Kostas Liapis:</t>
        </r>
        <r>
          <rPr>
            <sz val="9"/>
            <color indexed="81"/>
            <rFont val="Tahoma"/>
            <family val="2"/>
            <charset val="161"/>
          </rPr>
          <t xml:space="preserve">
ποσοστό επί των εσόδων</t>
        </r>
      </text>
    </comment>
    <comment ref="G35" authorId="0" shapeId="0" xr:uid="{00000000-0006-0000-0000-000014000000}">
      <text>
        <r>
          <rPr>
            <b/>
            <sz val="9"/>
            <color indexed="81"/>
            <rFont val="Tahoma"/>
            <family val="2"/>
            <charset val="161"/>
          </rPr>
          <t>Kostas Liapis:</t>
        </r>
        <r>
          <rPr>
            <sz val="9"/>
            <color indexed="81"/>
            <rFont val="Tahoma"/>
            <family val="2"/>
            <charset val="161"/>
          </rPr>
          <t xml:space="preserve">
ποσοστό επί των εσόδων</t>
        </r>
      </text>
    </comment>
    <comment ref="G36" authorId="0" shapeId="0" xr:uid="{00000000-0006-0000-0000-000015000000}">
      <text>
        <r>
          <rPr>
            <b/>
            <sz val="9"/>
            <color indexed="81"/>
            <rFont val="Tahoma"/>
            <family val="2"/>
            <charset val="161"/>
          </rPr>
          <t>Kostas Liapis:</t>
        </r>
        <r>
          <rPr>
            <sz val="9"/>
            <color indexed="81"/>
            <rFont val="Tahoma"/>
            <family val="2"/>
            <charset val="161"/>
          </rPr>
          <t xml:space="preserve">
ποσοστό επί των εσόδων</t>
        </r>
      </text>
    </comment>
    <comment ref="G37" authorId="0" shapeId="0" xr:uid="{00000000-0006-0000-0000-000016000000}">
      <text>
        <r>
          <rPr>
            <b/>
            <sz val="9"/>
            <color indexed="81"/>
            <rFont val="Tahoma"/>
            <family val="2"/>
            <charset val="161"/>
          </rPr>
          <t>Kostas Liapis:</t>
        </r>
        <r>
          <rPr>
            <sz val="9"/>
            <color indexed="81"/>
            <rFont val="Tahoma"/>
            <family val="2"/>
            <charset val="161"/>
          </rPr>
          <t xml:space="preserve">
ποσοστό επί των εσόδων</t>
        </r>
      </text>
    </comment>
    <comment ref="G38" authorId="0" shapeId="0" xr:uid="{00000000-0006-0000-0000-000017000000}">
      <text>
        <r>
          <rPr>
            <b/>
            <sz val="9"/>
            <color indexed="81"/>
            <rFont val="Tahoma"/>
            <family val="2"/>
            <charset val="161"/>
          </rPr>
          <t>Kostas Liapis:</t>
        </r>
        <r>
          <rPr>
            <sz val="9"/>
            <color indexed="81"/>
            <rFont val="Tahoma"/>
            <family val="2"/>
            <charset val="161"/>
          </rPr>
          <t xml:space="preserve">
ποσοστό επί των εσόδων</t>
        </r>
      </text>
    </comment>
    <comment ref="G43" authorId="0" shapeId="0" xr:uid="{00000000-0006-0000-0000-000018000000}">
      <text>
        <r>
          <rPr>
            <b/>
            <sz val="9"/>
            <color indexed="81"/>
            <rFont val="Tahoma"/>
            <family val="2"/>
            <charset val="161"/>
          </rPr>
          <t>Kostas Liapis:</t>
        </r>
        <r>
          <rPr>
            <sz val="9"/>
            <color indexed="81"/>
            <rFont val="Tahoma"/>
            <family val="2"/>
            <charset val="161"/>
          </rPr>
          <t xml:space="preserve">
Λογαριασμός συμφωνίας μεταξύ ενεργητικού και παθητικού - τα αναγκαία ξένα κεφάλαια για την επιχείρηση AFN</t>
        </r>
      </text>
    </comment>
    <comment ref="H43" authorId="0" shapeId="0" xr:uid="{00000000-0006-0000-0000-000019000000}">
      <text>
        <r>
          <rPr>
            <b/>
            <sz val="9"/>
            <color indexed="81"/>
            <rFont val="Tahoma"/>
            <family val="2"/>
            <charset val="161"/>
          </rPr>
          <t>Kostas Liapis:</t>
        </r>
        <r>
          <rPr>
            <sz val="9"/>
            <color indexed="81"/>
            <rFont val="Tahoma"/>
            <family val="2"/>
            <charset val="161"/>
          </rPr>
          <t xml:space="preserve">
αναλογία των μακροπροθέσμων στα συνολικά αναγκαία κεφάλαια</t>
        </r>
      </text>
    </comment>
    <comment ref="G44" authorId="0" shapeId="0" xr:uid="{00000000-0006-0000-0000-00001A000000}">
      <text>
        <r>
          <rPr>
            <b/>
            <sz val="9"/>
            <color indexed="81"/>
            <rFont val="Tahoma"/>
            <family val="2"/>
            <charset val="161"/>
          </rPr>
          <t xml:space="preserve">Kostas Liapis:
</t>
        </r>
        <r>
          <rPr>
            <sz val="9"/>
            <color indexed="81"/>
            <rFont val="Tahoma"/>
            <family val="2"/>
          </rPr>
          <t>ποσοστό στα έσοδα</t>
        </r>
      </text>
    </comment>
    <comment ref="G45" authorId="0" shapeId="0" xr:uid="{00000000-0006-0000-0000-00001B000000}">
      <text>
        <r>
          <rPr>
            <b/>
            <sz val="9"/>
            <color indexed="81"/>
            <rFont val="Tahoma"/>
            <family val="2"/>
          </rPr>
          <t>Kostas Liapis:</t>
        </r>
        <r>
          <rPr>
            <sz val="9"/>
            <color indexed="81"/>
            <rFont val="Tahoma"/>
            <family val="2"/>
          </rPr>
          <t xml:space="preserve">
ποσοστό στα έσοδα</t>
        </r>
      </text>
    </comment>
    <comment ref="G46" authorId="0" shapeId="0" xr:uid="{00000000-0006-0000-0000-00001C000000}">
      <text>
        <r>
          <rPr>
            <b/>
            <sz val="9"/>
            <color indexed="81"/>
            <rFont val="Tahoma"/>
            <family val="2"/>
          </rPr>
          <t>Kostas Liapis:</t>
        </r>
        <r>
          <rPr>
            <sz val="9"/>
            <color indexed="81"/>
            <rFont val="Tahoma"/>
            <family val="2"/>
          </rPr>
          <t xml:space="preserve">
ποσοστό στα έσοδα</t>
        </r>
      </text>
    </comment>
    <comment ref="G53" authorId="0" shapeId="0" xr:uid="{00000000-0006-0000-0000-00001D000000}">
      <text>
        <r>
          <rPr>
            <b/>
            <sz val="9"/>
            <color indexed="81"/>
            <rFont val="Tahoma"/>
            <family val="2"/>
          </rPr>
          <t>Kostas Liapis:</t>
        </r>
        <r>
          <rPr>
            <sz val="9"/>
            <color indexed="81"/>
            <rFont val="Tahoma"/>
            <family val="2"/>
          </rPr>
          <t xml:space="preserve">
προυπολογίζετε την ονομαστική αξία στην Αύξηση Μετοχικού Κεφαλαίου</t>
        </r>
      </text>
    </comment>
    <comment ref="G54" authorId="0" shapeId="0" xr:uid="{00000000-0006-0000-0000-00001E000000}">
      <text>
        <r>
          <rPr>
            <b/>
            <sz val="9"/>
            <color indexed="81"/>
            <rFont val="Tahoma"/>
            <family val="2"/>
          </rPr>
          <t>Kostas Liapis:</t>
        </r>
        <r>
          <rPr>
            <sz val="9"/>
            <color indexed="81"/>
            <rFont val="Tahoma"/>
            <family val="2"/>
          </rPr>
          <t xml:space="preserve">
προυπολογίζετε την υπερ το αρτιο διαφορα στην ΑΜΚ</t>
        </r>
      </text>
    </comment>
    <comment ref="H56" authorId="0" shapeId="0" xr:uid="{00000000-0006-0000-0000-00001F000000}">
      <text>
        <r>
          <rPr>
            <b/>
            <sz val="9"/>
            <color indexed="81"/>
            <rFont val="Tahoma"/>
            <family val="2"/>
          </rPr>
          <t>Kostas Liapis:</t>
        </r>
        <r>
          <rPr>
            <sz val="9"/>
            <color indexed="81"/>
            <rFont val="Tahoma"/>
            <family val="2"/>
          </rPr>
          <t xml:space="preserve">
αποτελούν τα κέρδη εις νέο της προηγουμένης χρονιάς σύν τα καθαρά αποτελέσματα-κέρδη της τρέχουσας μείον τα μεσίσματα της προηγούμενης που πληρώνονται στην τρέχουσα</t>
        </r>
      </text>
    </comment>
    <comment ref="G68" authorId="0" shapeId="0" xr:uid="{00000000-0006-0000-0000-000020000000}">
      <text>
        <r>
          <rPr>
            <b/>
            <sz val="9"/>
            <color indexed="81"/>
            <rFont val="Tahoma"/>
            <family val="2"/>
          </rPr>
          <t>Kostas Liapis:</t>
        </r>
        <r>
          <rPr>
            <sz val="9"/>
            <color indexed="81"/>
            <rFont val="Tahoma"/>
            <family val="2"/>
          </rPr>
          <t xml:space="preserve">
προυπολογίζετε τη μεταβολή στα ετήσια έσοδα</t>
        </r>
      </text>
    </comment>
    <comment ref="H69" authorId="0" shapeId="0" xr:uid="{00000000-0006-0000-0000-000021000000}">
      <text>
        <r>
          <rPr>
            <b/>
            <sz val="9"/>
            <color indexed="81"/>
            <rFont val="Tahoma"/>
            <family val="2"/>
          </rPr>
          <t>Kostas Liapis:</t>
        </r>
        <r>
          <rPr>
            <sz val="9"/>
            <color indexed="81"/>
            <rFont val="Tahoma"/>
            <family val="2"/>
          </rPr>
          <t xml:space="preserve">
όλα τα λοιπα κονδύλια που δεν έχουν ειδική σημείωση προυπολογίζονται με την ιστορική αναολία τους στα έσοδα</t>
        </r>
      </text>
    </comment>
    <comment ref="G74" authorId="0" shapeId="0" xr:uid="{00000000-0006-0000-0000-000022000000}">
      <text>
        <r>
          <rPr>
            <b/>
            <sz val="9"/>
            <color indexed="81"/>
            <rFont val="Tahoma"/>
            <family val="2"/>
          </rPr>
          <t>Kostas Liapis:</t>
        </r>
        <r>
          <rPr>
            <sz val="9"/>
            <color indexed="81"/>
            <rFont val="Tahoma"/>
            <family val="2"/>
          </rPr>
          <t xml:space="preserve">
Υπολογίζονται από τα σκάφη μετα τον πολλαπλασιασμό τους με τον μέσο συντελεστή απόσβεσης συν τα λοιπά πάγια με συντελεστή 8%</t>
        </r>
      </text>
    </comment>
    <comment ref="G81" authorId="0" shapeId="0" xr:uid="{00000000-0006-0000-0000-000023000000}">
      <text>
        <r>
          <rPr>
            <b/>
            <sz val="9"/>
            <color indexed="81"/>
            <rFont val="Tahoma"/>
            <family val="2"/>
          </rPr>
          <t>Kostas Liapis:</t>
        </r>
        <r>
          <rPr>
            <sz val="9"/>
            <color indexed="81"/>
            <rFont val="Tahoma"/>
            <family val="2"/>
          </rPr>
          <t xml:space="preserve">
υπολογίζεται η μέση επιβάρυνση επιτόκιο των δανείων</t>
        </r>
      </text>
    </comment>
    <comment ref="H81" authorId="0" shapeId="0" xr:uid="{00000000-0006-0000-0000-000024000000}">
      <text>
        <r>
          <rPr>
            <b/>
            <sz val="9"/>
            <color indexed="81"/>
            <rFont val="Tahoma"/>
            <family val="2"/>
          </rPr>
          <t>Kostas Liapis:</t>
        </r>
        <r>
          <rPr>
            <sz val="9"/>
            <color indexed="81"/>
            <rFont val="Tahoma"/>
            <family val="2"/>
          </rPr>
          <t xml:space="preserve">
Τόκοι=Τα δάνεια με την ιστορική επιβάρυνση </t>
        </r>
      </text>
    </comment>
    <comment ref="G82" authorId="0" shapeId="0" xr:uid="{00000000-0006-0000-0000-000025000000}">
      <text>
        <r>
          <rPr>
            <b/>
            <sz val="9"/>
            <color indexed="81"/>
            <rFont val="Tahoma"/>
            <family val="2"/>
          </rPr>
          <t>Kostas Liapis:</t>
        </r>
        <r>
          <rPr>
            <sz val="9"/>
            <color indexed="81"/>
            <rFont val="Tahoma"/>
            <family val="2"/>
          </rPr>
          <t xml:space="preserve">
Υπολογίζεται το μέσο επιτόκιο από την τοποθέτηση των χρηματικών διαθεσίμων της επιχείρησης</t>
        </r>
      </text>
    </comment>
    <comment ref="H82" authorId="0" shapeId="0" xr:uid="{00000000-0006-0000-0000-000026000000}">
      <text>
        <r>
          <rPr>
            <b/>
            <sz val="9"/>
            <color indexed="81"/>
            <rFont val="Tahoma"/>
            <family val="2"/>
          </rPr>
          <t>Kostas Liapis:</t>
        </r>
        <r>
          <rPr>
            <sz val="9"/>
            <color indexed="81"/>
            <rFont val="Tahoma"/>
            <family val="2"/>
          </rPr>
          <t xml:space="preserve">
Ο αντίστοιχος τόκος έσοδο</t>
        </r>
      </text>
    </comment>
    <comment ref="G84" authorId="0" shapeId="0" xr:uid="{00000000-0006-0000-0000-000027000000}">
      <text>
        <r>
          <rPr>
            <b/>
            <sz val="9"/>
            <color indexed="81"/>
            <rFont val="Tahoma"/>
            <family val="2"/>
          </rPr>
          <t>Kostas Liapis:</t>
        </r>
        <r>
          <rPr>
            <sz val="9"/>
            <color indexed="81"/>
            <rFont val="Tahoma"/>
            <family val="2"/>
          </rPr>
          <t xml:space="preserve">
υπολογίζεται η μέση απόδοση των λοιπών επενδύσεων</t>
        </r>
      </text>
    </comment>
    <comment ref="G94" authorId="0" shapeId="0" xr:uid="{00000000-0006-0000-0000-000028000000}">
      <text>
        <r>
          <rPr>
            <b/>
            <sz val="9"/>
            <color indexed="81"/>
            <rFont val="Tahoma"/>
            <family val="2"/>
          </rPr>
          <t>Kostas Liapis:</t>
        </r>
        <r>
          <rPr>
            <sz val="9"/>
            <color indexed="81"/>
            <rFont val="Tahoma"/>
            <family val="2"/>
          </rPr>
          <t xml:space="preserve">
προυπολογιζετε το μέρισμα ανα μετοχή</t>
        </r>
      </text>
    </comment>
    <comment ref="G96" authorId="0" shapeId="0" xr:uid="{00000000-0006-0000-0000-000029000000}">
      <text>
        <r>
          <rPr>
            <b/>
            <sz val="9"/>
            <color indexed="81"/>
            <rFont val="Tahoma"/>
            <family val="2"/>
          </rPr>
          <t>Kostas Liapis:</t>
        </r>
        <r>
          <rPr>
            <sz val="9"/>
            <color indexed="81"/>
            <rFont val="Tahoma"/>
            <family val="2"/>
          </rPr>
          <t xml:space="preserve">
σε περίπτωση αύξησης κεφαλαίου βάζετε τη τιμή διάθεσης των νέων μετοχών ΠΡΟΣΟΧΗ ΓΡΑΨΤΕ ΕΝΑΝ ΑΡΙΘΜΟ ΠΧ ΤΟ 1 ΓΙΑΤΙ ΑΝ ΤΟΠΟΘΕΤΗΘΕΙ ΜΗΔΕΝ Ο ΤΥΠΟΣ ΠΟΥ ΥΠΟΛΟΓΙΖΕΙ ΤΙΣ ΜΕΤΟΧΕΣ ΓΙΝΕΤΑΙ ΑΠΡΟΣΔΙΟΡΙΣΟΣ DIV/0</t>
        </r>
      </text>
    </comment>
    <comment ref="H96" authorId="0" shapeId="0" xr:uid="{00000000-0006-0000-0000-00002A000000}">
      <text>
        <r>
          <rPr>
            <b/>
            <sz val="9"/>
            <color indexed="81"/>
            <rFont val="Tahoma"/>
            <family val="2"/>
          </rPr>
          <t>Kostas Liapis:</t>
        </r>
        <r>
          <rPr>
            <sz val="9"/>
            <color indexed="81"/>
            <rFont val="Tahoma"/>
            <family val="2"/>
          </rPr>
          <t xml:space="preserve">
υπολογίζονται οι νέες μετοχές σε περίπτωση ΑΜΚ</t>
        </r>
      </text>
    </comment>
    <comment ref="H97" authorId="0" shapeId="0" xr:uid="{00000000-0006-0000-0000-00002B000000}">
      <text>
        <r>
          <rPr>
            <b/>
            <sz val="9"/>
            <color indexed="81"/>
            <rFont val="Tahoma"/>
            <family val="2"/>
          </rPr>
          <t>Kostas Liapis:</t>
        </r>
        <r>
          <rPr>
            <sz val="9"/>
            <color indexed="81"/>
            <rFont val="Tahoma"/>
            <family val="2"/>
          </rPr>
          <t xml:space="preserve">
Οι συνολικες μετοχες</t>
        </r>
      </text>
    </comment>
    <comment ref="H99" authorId="0" shapeId="0" xr:uid="{00000000-0006-0000-0000-00002C000000}">
      <text>
        <r>
          <rPr>
            <b/>
            <sz val="9"/>
            <color indexed="81"/>
            <rFont val="Tahoma"/>
            <family val="2"/>
          </rPr>
          <t>Kostas Liapis:</t>
        </r>
        <r>
          <rPr>
            <sz val="9"/>
            <color indexed="81"/>
            <rFont val="Tahoma"/>
            <family val="2"/>
          </rPr>
          <t xml:space="preserve">
υπολογίζονται τα μερίσματα</t>
        </r>
      </text>
    </comment>
    <comment ref="H105" authorId="0" shapeId="0" xr:uid="{00000000-0006-0000-0000-00002D000000}">
      <text>
        <r>
          <rPr>
            <b/>
            <sz val="9"/>
            <color indexed="81"/>
            <rFont val="Tahoma"/>
            <family val="2"/>
          </rPr>
          <t>Kostas Liapis:</t>
        </r>
        <r>
          <rPr>
            <sz val="9"/>
            <color indexed="81"/>
            <rFont val="Tahoma"/>
            <family val="2"/>
          </rPr>
          <t xml:space="preserve">
Μεταφέρονται τα ποσά από τον ισολογισμό και τον πίνακα αποτελεσμάτων χρήσης σε όλα τα παρακάτω κονδύλια αντίστοιχα </t>
        </r>
      </text>
    </comment>
    <comment ref="H143" authorId="0" shapeId="0" xr:uid="{00000000-0006-0000-0000-00002E000000}">
      <text>
        <r>
          <rPr>
            <b/>
            <sz val="9"/>
            <color indexed="81"/>
            <rFont val="Tahoma"/>
            <family val="2"/>
          </rPr>
          <t>Kostas Liapis:</t>
        </r>
        <r>
          <rPr>
            <sz val="9"/>
            <color indexed="81"/>
            <rFont val="Tahoma"/>
            <family val="2"/>
          </rPr>
          <t xml:space="preserve">
Λογαριασνός συμφωνία για όλα τα άλλα ταμειακά στοιχεία των χρηματοδοτικών δραστηριοτήτων τόσο για τα δάνεια όσο και τα κεφάλαια</t>
        </r>
      </text>
    </comment>
  </commentList>
</comments>
</file>

<file path=xl/sharedStrings.xml><?xml version="1.0" encoding="utf-8"?>
<sst xmlns="http://schemas.openxmlformats.org/spreadsheetml/2006/main" count="237" uniqueCount="226">
  <si>
    <t>ASSETS</t>
  </si>
  <si>
    <t>CURRENT ASSETS:</t>
  </si>
  <si>
    <t>FIXED ASSETS:</t>
  </si>
  <si>
    <t>OTHER NON-CURRENT ASSETS:</t>
  </si>
  <si>
    <t>LIABILITIES AND STOCKHOLDERS’ EQUITY</t>
  </si>
  <si>
    <t>CURRENT LIABILITIES:</t>
  </si>
  <si>
    <t>STOCKHOLDERS’ EQUITY:</t>
  </si>
  <si>
    <t>REVENUES:</t>
  </si>
  <si>
    <t>EXPENSES:</t>
  </si>
  <si>
    <t>OTHER INCOME / (EXPENSES):</t>
  </si>
  <si>
    <t>Prepaid expenses and other assets</t>
  </si>
  <si>
    <t>Cash and cash equivalents</t>
  </si>
  <si>
    <t>Retained earnings</t>
  </si>
  <si>
    <t>ΕΝΕΡΓΗΤΙΚΟ</t>
  </si>
  <si>
    <t>ΚΥΚΛΟΦΟΡΟΥΝ ΕΝΕΡΓΗΤΙΚΟ:</t>
  </si>
  <si>
    <t>ΠΑΓΙΟ ΕΝΕΡΓΗΤΙΚΟ:</t>
  </si>
  <si>
    <t>ΤΡΕΧΟΥΣΕΣ ΥΠΟΧΡΕΩΣΕΙΣ:</t>
  </si>
  <si>
    <t>ΚΥΚΛΟΣ ΕΡΓΑΣΙΩΝ:</t>
  </si>
  <si>
    <t>ΕΞΟΔΑ:</t>
  </si>
  <si>
    <t>ΛΟΙΠΑ ΕΣΟΔΑ / (ΕΞΟΔΑ):</t>
  </si>
  <si>
    <t>Total current assets</t>
  </si>
  <si>
    <t>Total fixed assets</t>
  </si>
  <si>
    <t>Deferred charges, net</t>
  </si>
  <si>
    <t xml:space="preserve">Total assets </t>
  </si>
  <si>
    <t xml:space="preserve">Accounts payable, trade and other </t>
  </si>
  <si>
    <t>Accrued liabilities</t>
  </si>
  <si>
    <t xml:space="preserve">Other current liabilities </t>
  </si>
  <si>
    <t>Total current liabilities</t>
  </si>
  <si>
    <t>Other non-current liabilities</t>
  </si>
  <si>
    <t xml:space="preserve">Commitments and contingencies </t>
  </si>
  <si>
    <t>Additional paid-in capital</t>
  </si>
  <si>
    <t>Total stockholders’ equity</t>
  </si>
  <si>
    <t>Total liabilities and stockholders’ equity</t>
  </si>
  <si>
    <t xml:space="preserve">Ταμειακά διαθέσιμα και ισοδύναμα </t>
  </si>
  <si>
    <t>Προπληρωμένα έξοδα και λοιπά στοιχεία ενεργητικού</t>
  </si>
  <si>
    <t xml:space="preserve">Σύνολο κυκλοφορούντος ενεργητικού </t>
  </si>
  <si>
    <t xml:space="preserve">Σύνολο πάγιου ενεργητικού </t>
  </si>
  <si>
    <t xml:space="preserve">Δεδουλευμένες υποχρεώσεις </t>
  </si>
  <si>
    <t xml:space="preserve">Λοιπές βραχυπρόθεσμες υποχρεώσεις </t>
  </si>
  <si>
    <t xml:space="preserve">Σύνολο βραχυπρόθεσμων υποχρεώσεων </t>
  </si>
  <si>
    <t xml:space="preserve">Λοιπές μακροπρόθεσμες υποχρεώσεις </t>
  </si>
  <si>
    <t xml:space="preserve">Αποτελέσματα εις νέον </t>
  </si>
  <si>
    <t xml:space="preserve">Σύνολο ιδίων κεφαλαίων μετόχων </t>
  </si>
  <si>
    <t>ΥΠΟΧΡΕΩΣΕΙΣ ΚΑΙ ΙΔΙΑ ΚΕΦΑΛΑΙΑ ΜΕΤΟΧΩΝ</t>
  </si>
  <si>
    <t>Απαιτήσεις από πελάτες</t>
  </si>
  <si>
    <t xml:space="preserve">Απαιτήσεις από συνδεδεμένα μέρη </t>
  </si>
  <si>
    <t>Αποθέματα</t>
  </si>
  <si>
    <t>Προκαταβολές για τα πλοία υπό κατασκευή και εξαγορές και άλλα έξοδα πλοίων</t>
  </si>
  <si>
    <t>Σκάφη</t>
  </si>
  <si>
    <t>Συσσωρευμένες αποσβέσεις</t>
  </si>
  <si>
    <t>Αναπόσβεστη αξία σκαφών</t>
  </si>
  <si>
    <t>Ακίνητα και εξοπλισμός, καθαρά ποσά</t>
  </si>
  <si>
    <t>ΛΟΙΠΟ ΜΗ ΚΥΚΛΟΦΟΡΟΥΝ ΕΝΕΡΓΗΤΙΚΟ:</t>
  </si>
  <si>
    <t>Μη δεδουλευμένα μακροχρόνια έξοδα</t>
  </si>
  <si>
    <t>Δεδουλευμένα έσοδα</t>
  </si>
  <si>
    <t>Δεδουλευμένα μακροχρόνια έσοδα</t>
  </si>
  <si>
    <t xml:space="preserve">Σύνολο Ενεργητικού </t>
  </si>
  <si>
    <t>Λογαριασμοί πληρωτέοι, σε πιστωτές προμηθευτές</t>
  </si>
  <si>
    <t xml:space="preserve">Οφειλές σε συνδεδεμένα μέρη </t>
  </si>
  <si>
    <t>Έσοδα επομένων χρήσεων, βραχυπρόθεσμο μέρος</t>
  </si>
  <si>
    <t>Έσοδα επομένων χρήσεων, μη βραχυπρόθεσμο μέρος</t>
  </si>
  <si>
    <t>Εύλογη αξία παραγώγων</t>
  </si>
  <si>
    <t>Δεσμεύσεις και Ενδεχόμενες Υποχρεώσεις</t>
  </si>
  <si>
    <t>ΙΔΙΑ ΚΕΦΑΛΑΙΑ ΜΕΤΟΧΩΝ</t>
  </si>
  <si>
    <t>NON-CURRENT LIABILITIES:</t>
  </si>
  <si>
    <t>ΜΑΚΡΟΠΡΟΘΕΣΜΕΣ ΥΠΟΧΡΕΩΣΕΙΣ:</t>
  </si>
  <si>
    <t>Total non-current liabilities</t>
  </si>
  <si>
    <t xml:space="preserve">Σύνολο μακροπρόθεσμων υποχρεώσεων </t>
  </si>
  <si>
    <t>Δικαιώματα μειοψηφίας</t>
  </si>
  <si>
    <t>Ίδια κεφάλαια των μετόχων της μητρικής</t>
  </si>
  <si>
    <t xml:space="preserve">Σύνολο υποχρεώσεων και ιδίων κεφαλαίων </t>
  </si>
  <si>
    <t>Amounts 2011</t>
  </si>
  <si>
    <t>Percentages 2011</t>
  </si>
  <si>
    <t>Time charter revenues</t>
  </si>
  <si>
    <t>General and administrative expenses</t>
  </si>
  <si>
    <t>Operating income</t>
  </si>
  <si>
    <t>Interest income</t>
  </si>
  <si>
    <t>Total other expenses, net</t>
  </si>
  <si>
    <t>Net income</t>
  </si>
  <si>
    <t xml:space="preserve">Λειτουργικά Έσοδα </t>
  </si>
  <si>
    <t>Λοιπά έσοδα</t>
  </si>
  <si>
    <t xml:space="preserve">Τα έξοδα ταξιδίου </t>
  </si>
  <si>
    <t>Σκάφους λειτουργικά έξοδα</t>
  </si>
  <si>
    <t xml:space="preserve">Έσοδα από τόκους </t>
  </si>
  <si>
    <t>Τόκοι και έξοδα χρηματοδότησης</t>
  </si>
  <si>
    <t>Ζημιές από παράγωγα χρηματοοικονομικά προϊόντα</t>
  </si>
  <si>
    <t>Σύνολο λοιπών εξόδων, τα καθαρά</t>
  </si>
  <si>
    <t>Σταθμισμένος μέσος αριθμός των κοινών ονομαστικών μετοχών, Σταθμισμένα</t>
  </si>
  <si>
    <t>Καθαρό εισόδημα</t>
  </si>
  <si>
    <t>Σταθμισμένος μέσος αριθμός των κοινών ονομαστικών μετοχών</t>
  </si>
  <si>
    <t xml:space="preserve">Due from related party </t>
  </si>
  <si>
    <t>Prepaid charter revenue</t>
  </si>
  <si>
    <t>Depreciation and amortization of deferred charges</t>
  </si>
  <si>
    <t>CONSOLIDATED STATEMENTS OF CASH FLOWS</t>
  </si>
  <si>
    <t>(Expressed in thousands of U.S. Dollars)</t>
  </si>
  <si>
    <t>Cash Flows (used in) / provided by Operating Activities:</t>
  </si>
  <si>
    <t>(Increase) / Decrease in:</t>
  </si>
  <si>
    <t>Increase / (Decrease) in:</t>
  </si>
  <si>
    <t>Cash Flows (used in) / provided by Investing Activities:</t>
  </si>
  <si>
    <t>Cash Flows (used in) / provided by Financing Activities:</t>
  </si>
  <si>
    <t>(Εκφράζεται σε χιλιάδες δολάρια ΗΠΑ)</t>
  </si>
  <si>
    <t>Ταμειακές ροές (για) / από λειτουργικές δραστηριότητες:</t>
  </si>
  <si>
    <t>(Αύξηση) / Μείωση σε:</t>
  </si>
  <si>
    <t>Αύξηση / (Μείωση) σε:</t>
  </si>
  <si>
    <t>Ταμειακές ροές (για) / από επενδυτικές δραστηριότητες:</t>
  </si>
  <si>
    <t>Ταμειακές ροές (για) / από χρηματοδοτικές δραστηριότητες:</t>
  </si>
  <si>
    <t xml:space="preserve">Net income </t>
  </si>
  <si>
    <t>Adjustments to reconcile net income to net cash provided by operating activities:</t>
  </si>
  <si>
    <t>Αναπροσαρμογές για την συμφωνία των καθαρών εσόδων προς τις καθαρές ταμειακές ροές από λειτουργικές δραστηριότητες:</t>
  </si>
  <si>
    <t>Change in fair value of derivative instruments</t>
  </si>
  <si>
    <t>Receivables</t>
  </si>
  <si>
    <t>Inventories</t>
  </si>
  <si>
    <t xml:space="preserve">Accounts payable </t>
  </si>
  <si>
    <t xml:space="preserve">Due to related parties </t>
  </si>
  <si>
    <t>Deferred revenue</t>
  </si>
  <si>
    <t xml:space="preserve">Other liabilities </t>
  </si>
  <si>
    <t>Net Cash provided by Operating Activities</t>
  </si>
  <si>
    <t>Net Cash used in Investing Activities</t>
  </si>
  <si>
    <t xml:space="preserve">Proceeds from long-term debt </t>
  </si>
  <si>
    <t>Proceeds from issuance of share capital, net of expenses</t>
  </si>
  <si>
    <t xml:space="preserve">Net Cash provided by Financing Activities </t>
  </si>
  <si>
    <t>Net increase in cash and cash equivalents</t>
  </si>
  <si>
    <t>Cash and cash equivalents at beginning of period</t>
  </si>
  <si>
    <t xml:space="preserve">Cash and cash equivalents at end of period </t>
  </si>
  <si>
    <t xml:space="preserve">Μεταβολή στην εύλογη αξία των παραγώγων </t>
  </si>
  <si>
    <t xml:space="preserve">Απαιτήσεις </t>
  </si>
  <si>
    <t>Απαιτήσεις από συνδεόμενα μέρη</t>
  </si>
  <si>
    <t xml:space="preserve">Αποθέματα </t>
  </si>
  <si>
    <t xml:space="preserve">Προπληρωμένα έξοδα και λοιπά στοιχεία ενεργητικού </t>
  </si>
  <si>
    <t xml:space="preserve">Λογαριασμοί πληρωτέοι </t>
  </si>
  <si>
    <t xml:space="preserve">Έσοδα επομένων χρήσεων </t>
  </si>
  <si>
    <t xml:space="preserve">Λοιπές υποχρεώσεις </t>
  </si>
  <si>
    <t xml:space="preserve">Σύνολο εισροών από λειτουργικές δραστηριότητες </t>
  </si>
  <si>
    <t xml:space="preserve">Ταμειακές εκροές για επενδυτικές δραστηριότητες </t>
  </si>
  <si>
    <t xml:space="preserve">Καθαρές ταμειακές ροές από χρηματοδοτικές δραστηριότητες </t>
  </si>
  <si>
    <t xml:space="preserve">Καθαρή αύξηση στα ταμειακά διαθέσιμα και ισοδύναμα </t>
  </si>
  <si>
    <t xml:space="preserve">Ταμειακά διαθέσιμα και ισοδύναμα στην αρχή της περιόδου </t>
  </si>
  <si>
    <t xml:space="preserve">Ταμειακά διαθέσιμα και ισοδύναμα στο τέλος της περιόδου </t>
  </si>
  <si>
    <t xml:space="preserve">Δεδουλευμένα έσοδα </t>
  </si>
  <si>
    <t>Προκαταβολές για τα πλοία υπό κατασκευή και εξαγορές και άλλα έξοδα σκάφους</t>
  </si>
  <si>
    <t>Έσοδα χρονοναυλώσεων</t>
  </si>
  <si>
    <t xml:space="preserve">Αποσβέσεις </t>
  </si>
  <si>
    <t xml:space="preserve">Γενικά και Διοικητικά έξοδα </t>
  </si>
  <si>
    <t>Κέρδη ανά κοινή μετοχή</t>
  </si>
  <si>
    <t>Κέρδη ανά κοινή μετοχή, Σταθμισμένα</t>
  </si>
  <si>
    <t>Καθαρά Κέρδη</t>
  </si>
  <si>
    <t>Αποσβέσεις</t>
  </si>
  <si>
    <t>Επενδύσεις ακινήτων</t>
  </si>
  <si>
    <t xml:space="preserve">Αυξήσεις μακροπρόθεσμου χρέους </t>
  </si>
  <si>
    <t>Αύξηση μετοχικού κεφαλαίου, μετά την αφαίρεση των εξόδων</t>
  </si>
  <si>
    <t xml:space="preserve">Other Investment </t>
  </si>
  <si>
    <t>Λοιπές Επενδύσεις</t>
  </si>
  <si>
    <t>Common stock, $0.01 par value</t>
  </si>
  <si>
    <t>Κοινές μετοχές, 0,01 δολάρια ονομαστικής αξίας</t>
  </si>
  <si>
    <t>Λοιπά αποθεματικά- έσοδα / (ζημιές)</t>
  </si>
  <si>
    <t>Foreign currency gains-losses</t>
  </si>
  <si>
    <t>Συναλλαγματικά κέρδη - ζημίες</t>
  </si>
  <si>
    <t>Έσοδα από λοιπές επενδύσεις</t>
  </si>
  <si>
    <t>Gain - Loss assumed by non-controlling interests</t>
  </si>
  <si>
    <t>Income from investment</t>
  </si>
  <si>
    <t xml:space="preserve">Έσοδα από επενδύσεις,  μετά την αφαίρεση των μερισμάτων εισπρακτέων </t>
  </si>
  <si>
    <t>Amounts 2012</t>
  </si>
  <si>
    <t>Percentages 2012</t>
  </si>
  <si>
    <t>Cash for Other Investments</t>
  </si>
  <si>
    <t>Άλλες Επενδύσεις</t>
  </si>
  <si>
    <t>Accounts receivable, trade</t>
  </si>
  <si>
    <t>Due from related party</t>
  </si>
  <si>
    <t>Advances for vessels under construction and acquisitions and other vessel costs</t>
  </si>
  <si>
    <t>Vessels</t>
  </si>
  <si>
    <t xml:space="preserve">Accumulated depreciation </t>
  </si>
  <si>
    <t>Vessels’ net book value</t>
  </si>
  <si>
    <t xml:space="preserve">Property and equipment, net </t>
  </si>
  <si>
    <t xml:space="preserve">Prepaid charter revenue, non-current </t>
  </si>
  <si>
    <t>Current portion of long-term debt</t>
  </si>
  <si>
    <t>Due to related parties</t>
  </si>
  <si>
    <t>Deferred revenue, current portion</t>
  </si>
  <si>
    <t>Deferred revenue, non-current portion</t>
  </si>
  <si>
    <t>Fair value of derivative instruments</t>
  </si>
  <si>
    <t>Βραχυπρόθεσμο μέρος μακροπρόθεσμων δανείων</t>
  </si>
  <si>
    <t>ΙΣΟΛΟΓΙΣΜΟΣ ΝΑΥΤΙΛΙΑΚΗΣ ΕΠΙΧΕΙΡΗΣΗΣ                                                                                                                    (Expressed in thousands of U.S. Dollars – except for share and per share data)</t>
  </si>
  <si>
    <t>Κέρδη - Ζημία που αναλογεί στη μειοψηφία</t>
  </si>
  <si>
    <t>Καθαρό κέρδος που αποδίδεται στους μετόχους της μητρικής</t>
  </si>
  <si>
    <t>ΚΑΤΑΣΤΑΣΗ ΑΠΟΤΕΛΕΣΜΑΤΩΝ ΧΡΗΣΗΣ ΝΑΥΤΗΛΙΑΚΗΣ ΕΤΑΙΡΕΙΑΣ                                              (Expressed in thousands of U.S. Dollars – except for share and per share data)</t>
  </si>
  <si>
    <t>%</t>
  </si>
  <si>
    <t>Other revenues</t>
  </si>
  <si>
    <t>Voyage expenses</t>
  </si>
  <si>
    <t>Vessel operating expenses</t>
  </si>
  <si>
    <t xml:space="preserve">Interest and finance costs </t>
  </si>
  <si>
    <t>Loss from derivative instruments</t>
  </si>
  <si>
    <t xml:space="preserve">Income from other investment </t>
  </si>
  <si>
    <t>ΚΑΤΑΣΤΑΣΗ ΤΑΜΕΙΑΚΩΝ ΡΟΩΝ ΝΑΥΤΙΛΙΑΚΗΣ ΕΤΑΙΡΕΙΑΣ</t>
  </si>
  <si>
    <t xml:space="preserve">Vessel acquisitions </t>
  </si>
  <si>
    <t>Real property acquisition</t>
  </si>
  <si>
    <t>Other Assets</t>
  </si>
  <si>
    <t>Λοιπά στοιχεία ενεργητικού</t>
  </si>
  <si>
    <t>Λοιπά Χρηματοοικονομικά Αποτελέσματα</t>
  </si>
  <si>
    <t xml:space="preserve">Other Amounts  financial </t>
  </si>
  <si>
    <t>Net income attributed to Shareholders</t>
  </si>
  <si>
    <t>Weighted average number of common shares, basic</t>
  </si>
  <si>
    <t>Weighted average number of common shares, diluted</t>
  </si>
  <si>
    <t xml:space="preserve"> Υπέρ το άρτιο</t>
  </si>
  <si>
    <t xml:space="preserve">Prepaid charter revenue </t>
  </si>
  <si>
    <t xml:space="preserve">Other comprehensive income / (loss) </t>
  </si>
  <si>
    <t>Non-controlling interests</t>
  </si>
  <si>
    <t xml:space="preserve">Earnings per common share, diluted </t>
  </si>
  <si>
    <t xml:space="preserve">Earnings per common share, basic </t>
  </si>
  <si>
    <t>Εξαγορές σκάφων</t>
  </si>
  <si>
    <t>Assumptions</t>
  </si>
  <si>
    <t>Μερίσματα</t>
  </si>
  <si>
    <t>Increase of Retained earnings</t>
  </si>
  <si>
    <t>Ετήσιο Ποσοστό αύξησης Κεφαλαίων</t>
  </si>
  <si>
    <t>dividends</t>
  </si>
  <si>
    <t xml:space="preserve">Αύξηση στα Αποτελέσματα εις νέον </t>
  </si>
  <si>
    <t>Retention Ratio</t>
  </si>
  <si>
    <t>E2013</t>
  </si>
  <si>
    <t>F2014</t>
  </si>
  <si>
    <t>F2015</t>
  </si>
  <si>
    <t>F2016</t>
  </si>
  <si>
    <r>
      <t>Loan payments</t>
    </r>
    <r>
      <rPr>
        <b/>
        <sz val="12"/>
        <color rgb="FFFF0000"/>
        <rFont val="Times New Roman"/>
        <family val="1"/>
      </rPr>
      <t xml:space="preserve"> Control Variable</t>
    </r>
  </si>
  <si>
    <r>
      <t>Εξοφλήσεις δανείων (Τόκοι και Κεφάλαιο)</t>
    </r>
    <r>
      <rPr>
        <b/>
        <sz val="12"/>
        <color rgb="FFFF0000"/>
        <rFont val="Times New Roman"/>
        <family val="1"/>
      </rPr>
      <t>Λογαριασμός Συμφωνίας</t>
    </r>
  </si>
  <si>
    <t>F2017</t>
  </si>
  <si>
    <r>
      <t xml:space="preserve">Μακροπρόθεσμο χρέος, μη βραχυπρόθεσμο μέρος - </t>
    </r>
    <r>
      <rPr>
        <b/>
        <sz val="10"/>
        <color rgb="FFFF0000"/>
        <rFont val="Times New Roman"/>
        <family val="1"/>
      </rPr>
      <t>Λογαριασμός συμφωνίας Ενεργητικού Παθητικού</t>
    </r>
  </si>
  <si>
    <r>
      <t xml:space="preserve">Long-term debt, non-current portion - </t>
    </r>
    <r>
      <rPr>
        <b/>
        <sz val="10"/>
        <color rgb="FFFF0000"/>
        <rFont val="Times New Roman"/>
        <family val="1"/>
      </rPr>
      <t xml:space="preserve">Control Account </t>
    </r>
  </si>
  <si>
    <t>Τιμή Διάθεσης σε Αύξηση ΜΚ</t>
  </si>
  <si>
    <t>Offer price Increase Of Sh.Capital</t>
  </si>
  <si>
    <t>Stockholders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</si>
</sst>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5" x14ac:knownFonts="1">
    <font>
      <sz val="11"/>
      <color theme="1"/>
      <name val="Calibri"/>
      <family val="2"/>
      <charset val="161"/>
      <scheme val="minor"/>
    </font>
    <font>
      <sz val="11"/>
      <color theme="1"/>
      <name val="Calibri"/>
      <family val="2"/>
      <charset val="161"/>
      <scheme val="minor"/>
    </font>
    <font>
      <sz val="10"/>
      <color theme="1"/>
      <name val="Times New Roman"/>
      <family val="1"/>
      <charset val="161"/>
    </font>
    <font>
      <sz val="10"/>
      <color rgb="FF333333"/>
      <name val="Times New Roman"/>
      <family val="1"/>
      <charset val="161"/>
    </font>
    <font>
      <u/>
      <sz val="10"/>
      <color theme="1"/>
      <name val="Times New Roman"/>
      <family val="1"/>
      <charset val="161"/>
    </font>
    <font>
      <b/>
      <sz val="10"/>
      <color theme="1"/>
      <name val="Times New Roman"/>
      <family val="1"/>
      <charset val="161"/>
    </font>
    <font>
      <b/>
      <sz val="10"/>
      <color rgb="FF333333"/>
      <name val="Times New Roman"/>
      <family val="1"/>
      <charset val="161"/>
    </font>
    <font>
      <b/>
      <sz val="12"/>
      <color theme="1"/>
      <name val="Times New Roman"/>
      <family val="1"/>
      <charset val="161"/>
    </font>
    <font>
      <b/>
      <sz val="12"/>
      <color rgb="FF333333"/>
      <name val="Times New Roman"/>
      <family val="1"/>
      <charset val="161"/>
    </font>
    <font>
      <b/>
      <u/>
      <sz val="10"/>
      <color theme="1"/>
      <name val="Times New Roman"/>
      <family val="1"/>
      <charset val="161"/>
    </font>
    <font>
      <b/>
      <u/>
      <sz val="10"/>
      <color rgb="FF333333"/>
      <name val="Times New Roman"/>
      <family val="1"/>
      <charset val="161"/>
    </font>
    <font>
      <sz val="12"/>
      <name val="Times New Roman"/>
      <family val="1"/>
      <charset val="161"/>
    </font>
    <font>
      <b/>
      <sz val="12"/>
      <name val="Times New Roman"/>
      <family val="1"/>
      <charset val="161"/>
    </font>
    <font>
      <sz val="12"/>
      <color theme="1"/>
      <name val="Times New Roman"/>
      <family val="1"/>
      <charset val="161"/>
    </font>
    <font>
      <sz val="12"/>
      <color rgb="FF333333"/>
      <name val="Times New Roman"/>
      <family val="1"/>
      <charset val="161"/>
    </font>
    <font>
      <u/>
      <sz val="12"/>
      <color theme="1"/>
      <name val="Times New Roman"/>
      <family val="1"/>
      <charset val="161"/>
    </font>
    <font>
      <b/>
      <u/>
      <sz val="12"/>
      <color theme="1"/>
      <name val="Times New Roman"/>
      <family val="1"/>
      <charset val="161"/>
    </font>
    <font>
      <b/>
      <sz val="14"/>
      <name val="Times New Roman"/>
      <family val="1"/>
      <charset val="161"/>
    </font>
    <font>
      <sz val="14"/>
      <name val="Times New Roman"/>
      <family val="1"/>
      <charset val="161"/>
    </font>
    <font>
      <u val="singleAccounting"/>
      <sz val="10"/>
      <color theme="1"/>
      <name val="Times New Roman"/>
      <family val="1"/>
      <charset val="161"/>
    </font>
    <font>
      <sz val="10"/>
      <color rgb="FFFF0000"/>
      <name val="Times New Roman"/>
      <family val="1"/>
      <charset val="161"/>
    </font>
    <font>
      <b/>
      <sz val="14"/>
      <color theme="1"/>
      <name val="Times New Roman"/>
      <family val="1"/>
      <charset val="161"/>
    </font>
    <font>
      <b/>
      <sz val="12"/>
      <color rgb="FFFF0000"/>
      <name val="Times New Roman"/>
      <family val="1"/>
    </font>
    <font>
      <b/>
      <sz val="10"/>
      <color rgb="FFFF0000"/>
      <name val="Times New Roman"/>
      <family val="1"/>
    </font>
    <font>
      <sz val="9"/>
      <color indexed="81"/>
      <name val="Tahoma"/>
      <family val="2"/>
      <charset val="161"/>
    </font>
    <font>
      <b/>
      <sz val="9"/>
      <color indexed="81"/>
      <name val="Tahoma"/>
      <family val="2"/>
      <charset val="161"/>
    </font>
    <font>
      <sz val="9"/>
      <color indexed="81"/>
      <name val="Tahoma"/>
      <family val="2"/>
    </font>
    <font>
      <b/>
      <sz val="9"/>
      <color indexed="81"/>
      <name val="Tahoma"/>
      <family val="2"/>
    </font>
    <font>
      <b/>
      <sz val="12"/>
      <color theme="1"/>
      <name val="Times New Roman"/>
      <family val="1"/>
    </font>
    <font>
      <b/>
      <sz val="10"/>
      <color theme="1"/>
      <name val="Times New Roman"/>
      <family val="1"/>
    </font>
    <font>
      <b/>
      <u/>
      <sz val="12"/>
      <name val="Times New Roman"/>
      <family val="1"/>
      <charset val="161"/>
    </font>
    <font>
      <b/>
      <u/>
      <sz val="12"/>
      <color theme="1"/>
      <name val="Times New Roman"/>
      <family val="1"/>
    </font>
    <font>
      <b/>
      <u/>
      <sz val="10"/>
      <color theme="1"/>
      <name val="Times New Roman"/>
      <family val="1"/>
    </font>
    <font>
      <sz val="12"/>
      <color theme="1"/>
      <name val="Times New Roman"/>
      <family val="1"/>
    </font>
    <font>
      <sz val="14"/>
      <color theme="1"/>
      <name val="Times New Roman"/>
      <family val="1"/>
      <charset val="161"/>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39997558519241921"/>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49">
    <xf numFmtId="0" fontId="0" fillId="0" borderId="0" xfId="0"/>
    <xf numFmtId="0" fontId="2"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9"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2" fillId="0" borderId="3" xfId="0" applyFont="1" applyBorder="1" applyAlignment="1">
      <alignment wrapText="1"/>
    </xf>
    <xf numFmtId="0" fontId="11" fillId="0" borderId="2" xfId="0" applyFont="1" applyBorder="1" applyAlignment="1">
      <alignment wrapText="1"/>
    </xf>
    <xf numFmtId="0" fontId="11" fillId="3" borderId="0" xfId="0" applyFont="1" applyFill="1" applyAlignment="1">
      <alignment wrapText="1"/>
    </xf>
    <xf numFmtId="3" fontId="2" fillId="2" borderId="1" xfId="0" applyNumberFormat="1" applyFont="1" applyFill="1" applyBorder="1" applyAlignment="1">
      <alignment wrapText="1"/>
    </xf>
    <xf numFmtId="3" fontId="2" fillId="0" borderId="0" xfId="0" applyNumberFormat="1" applyFont="1" applyAlignment="1">
      <alignment wrapText="1"/>
    </xf>
    <xf numFmtId="0" fontId="11" fillId="2" borderId="1" xfId="0" applyFont="1" applyFill="1" applyBorder="1" applyAlignment="1">
      <alignment wrapText="1"/>
    </xf>
    <xf numFmtId="9" fontId="5" fillId="2" borderId="5" xfId="0" applyNumberFormat="1" applyFont="1" applyFill="1" applyBorder="1" applyAlignment="1">
      <alignment horizontal="center" wrapText="1"/>
    </xf>
    <xf numFmtId="9" fontId="5" fillId="2" borderId="6" xfId="0" applyNumberFormat="1" applyFont="1" applyFill="1" applyBorder="1" applyAlignment="1">
      <alignment horizontal="center" wrapText="1"/>
    </xf>
    <xf numFmtId="0" fontId="5" fillId="0" borderId="7" xfId="0" applyFont="1" applyBorder="1" applyAlignment="1">
      <alignment wrapText="1"/>
    </xf>
    <xf numFmtId="0" fontId="6" fillId="0" borderId="0" xfId="0" applyFont="1" applyAlignment="1">
      <alignment wrapText="1"/>
    </xf>
    <xf numFmtId="0" fontId="2" fillId="2" borderId="0" xfId="0" applyFont="1" applyFill="1" applyAlignment="1">
      <alignment wrapText="1"/>
    </xf>
    <xf numFmtId="0" fontId="2" fillId="2" borderId="8" xfId="0" applyFont="1" applyFill="1" applyBorder="1" applyAlignment="1">
      <alignment wrapText="1"/>
    </xf>
    <xf numFmtId="0" fontId="2" fillId="0" borderId="7" xfId="0" applyFont="1" applyBorder="1" applyAlignment="1">
      <alignment wrapText="1"/>
    </xf>
    <xf numFmtId="0" fontId="3" fillId="0" borderId="0" xfId="0" applyFont="1" applyAlignment="1">
      <alignment wrapText="1"/>
    </xf>
    <xf numFmtId="3" fontId="2" fillId="2" borderId="0" xfId="0" applyNumberFormat="1" applyFont="1" applyFill="1" applyAlignment="1">
      <alignment wrapText="1"/>
    </xf>
    <xf numFmtId="10" fontId="2" fillId="2" borderId="0" xfId="1" applyNumberFormat="1" applyFont="1" applyFill="1" applyBorder="1" applyAlignment="1">
      <alignment wrapText="1"/>
    </xf>
    <xf numFmtId="10" fontId="2" fillId="2" borderId="8" xfId="1" applyNumberFormat="1" applyFont="1" applyFill="1" applyBorder="1" applyAlignment="1">
      <alignment wrapText="1"/>
    </xf>
    <xf numFmtId="3" fontId="4" fillId="2" borderId="0" xfId="0" applyNumberFormat="1" applyFont="1" applyFill="1" applyAlignment="1">
      <alignment wrapText="1"/>
    </xf>
    <xf numFmtId="10" fontId="4" fillId="2" borderId="0" xfId="1" applyNumberFormat="1" applyFont="1" applyFill="1" applyBorder="1" applyAlignment="1">
      <alignment wrapText="1"/>
    </xf>
    <xf numFmtId="10" fontId="4" fillId="2" borderId="8" xfId="1" applyNumberFormat="1" applyFont="1" applyFill="1" applyBorder="1" applyAlignment="1">
      <alignment wrapText="1"/>
    </xf>
    <xf numFmtId="0" fontId="5" fillId="2" borderId="7" xfId="0" applyFont="1" applyFill="1" applyBorder="1" applyAlignment="1">
      <alignment wrapText="1"/>
    </xf>
    <xf numFmtId="0" fontId="6" fillId="2" borderId="0" xfId="0" applyFont="1" applyFill="1" applyAlignment="1">
      <alignment wrapText="1"/>
    </xf>
    <xf numFmtId="3" fontId="5" fillId="2" borderId="0" xfId="0" applyNumberFormat="1" applyFont="1" applyFill="1" applyAlignment="1">
      <alignment wrapText="1"/>
    </xf>
    <xf numFmtId="10" fontId="5" fillId="2" borderId="0" xfId="1" applyNumberFormat="1" applyFont="1" applyFill="1" applyBorder="1" applyAlignment="1">
      <alignment wrapText="1"/>
    </xf>
    <xf numFmtId="10" fontId="5" fillId="2" borderId="8" xfId="1" applyNumberFormat="1" applyFont="1" applyFill="1" applyBorder="1" applyAlignment="1">
      <alignment wrapText="1"/>
    </xf>
    <xf numFmtId="0" fontId="7" fillId="2" borderId="7" xfId="0" applyFont="1" applyFill="1" applyBorder="1" applyAlignment="1">
      <alignment wrapText="1"/>
    </xf>
    <xf numFmtId="0" fontId="8" fillId="2" borderId="0" xfId="0" applyFont="1" applyFill="1" applyAlignment="1">
      <alignment wrapText="1"/>
    </xf>
    <xf numFmtId="3" fontId="7" fillId="2" borderId="0" xfId="0" applyNumberFormat="1" applyFont="1" applyFill="1" applyAlignment="1">
      <alignment wrapText="1"/>
    </xf>
    <xf numFmtId="10" fontId="7" fillId="2" borderId="0" xfId="1" applyNumberFormat="1" applyFont="1" applyFill="1" applyBorder="1" applyAlignment="1">
      <alignment wrapText="1"/>
    </xf>
    <xf numFmtId="10" fontId="7" fillId="2" borderId="8" xfId="1" applyNumberFormat="1" applyFont="1" applyFill="1" applyBorder="1" applyAlignment="1">
      <alignment wrapText="1"/>
    </xf>
    <xf numFmtId="0" fontId="4" fillId="2" borderId="0" xfId="0" applyFont="1" applyFill="1" applyAlignment="1">
      <alignment wrapText="1"/>
    </xf>
    <xf numFmtId="0" fontId="9" fillId="0" borderId="7" xfId="0" applyFont="1" applyBorder="1" applyAlignment="1">
      <alignment wrapText="1"/>
    </xf>
    <xf numFmtId="0" fontId="10" fillId="0" borderId="0" xfId="0" applyFont="1" applyAlignment="1">
      <alignment wrapText="1"/>
    </xf>
    <xf numFmtId="0" fontId="9" fillId="2" borderId="0" xfId="0" applyFont="1" applyFill="1" applyAlignment="1">
      <alignment wrapText="1"/>
    </xf>
    <xf numFmtId="0" fontId="3" fillId="2" borderId="0" xfId="0" applyFont="1" applyFill="1" applyAlignment="1">
      <alignment wrapText="1"/>
    </xf>
    <xf numFmtId="3" fontId="9" fillId="2" borderId="0" xfId="0" applyNumberFormat="1" applyFont="1" applyFill="1" applyAlignment="1">
      <alignment wrapText="1"/>
    </xf>
    <xf numFmtId="0" fontId="7" fillId="2" borderId="9" xfId="0" applyFont="1" applyFill="1" applyBorder="1" applyAlignment="1">
      <alignment wrapText="1"/>
    </xf>
    <xf numFmtId="0" fontId="8" fillId="2" borderId="10" xfId="0" applyFont="1" applyFill="1" applyBorder="1" applyAlignment="1">
      <alignment wrapText="1"/>
    </xf>
    <xf numFmtId="3" fontId="7" fillId="2" borderId="10" xfId="0" applyNumberFormat="1" applyFont="1" applyFill="1" applyBorder="1" applyAlignment="1">
      <alignment wrapText="1"/>
    </xf>
    <xf numFmtId="10" fontId="7" fillId="2" borderId="10" xfId="1" applyNumberFormat="1" applyFont="1" applyFill="1" applyBorder="1" applyAlignment="1">
      <alignment wrapText="1"/>
    </xf>
    <xf numFmtId="10" fontId="7" fillId="2" borderId="11" xfId="1" applyNumberFormat="1" applyFont="1" applyFill="1" applyBorder="1" applyAlignment="1">
      <alignment wrapText="1"/>
    </xf>
    <xf numFmtId="0" fontId="7" fillId="0" borderId="7" xfId="0" applyFont="1" applyBorder="1" applyAlignment="1">
      <alignment wrapText="1"/>
    </xf>
    <xf numFmtId="0" fontId="8" fillId="0" borderId="0" xfId="0" applyFont="1" applyAlignment="1">
      <alignment wrapText="1"/>
    </xf>
    <xf numFmtId="0" fontId="13" fillId="0" borderId="7" xfId="0" applyFont="1" applyBorder="1" applyAlignment="1">
      <alignment wrapText="1"/>
    </xf>
    <xf numFmtId="0" fontId="14" fillId="0" borderId="0" xfId="0" applyFont="1" applyAlignment="1">
      <alignment wrapText="1"/>
    </xf>
    <xf numFmtId="0" fontId="13" fillId="0" borderId="9" xfId="0" applyFont="1" applyBorder="1" applyAlignment="1">
      <alignment wrapText="1"/>
    </xf>
    <xf numFmtId="0" fontId="14" fillId="0" borderId="10" xfId="0" applyFont="1" applyBorder="1" applyAlignment="1">
      <alignment wrapText="1"/>
    </xf>
    <xf numFmtId="0" fontId="12" fillId="2" borderId="4" xfId="0" applyFont="1" applyFill="1" applyBorder="1" applyAlignment="1">
      <alignment wrapText="1"/>
    </xf>
    <xf numFmtId="0" fontId="12" fillId="2" borderId="5" xfId="0" applyFont="1" applyFill="1" applyBorder="1" applyAlignment="1">
      <alignment wrapText="1"/>
    </xf>
    <xf numFmtId="0" fontId="11" fillId="2" borderId="12" xfId="0" applyFont="1" applyFill="1" applyBorder="1" applyAlignment="1">
      <alignment wrapText="1"/>
    </xf>
    <xf numFmtId="0" fontId="12" fillId="0" borderId="14" xfId="0" applyFont="1" applyBorder="1" applyAlignment="1">
      <alignment wrapText="1"/>
    </xf>
    <xf numFmtId="0" fontId="11" fillId="0" borderId="7" xfId="0" applyFont="1" applyBorder="1" applyAlignment="1">
      <alignment wrapText="1"/>
    </xf>
    <xf numFmtId="0" fontId="12" fillId="0" borderId="7" xfId="0" applyFont="1" applyBorder="1" applyAlignment="1">
      <alignment wrapText="1"/>
    </xf>
    <xf numFmtId="0" fontId="11" fillId="3" borderId="7" xfId="0" applyFont="1" applyFill="1" applyBorder="1" applyAlignment="1">
      <alignment wrapText="1"/>
    </xf>
    <xf numFmtId="0" fontId="11" fillId="0" borderId="16" xfId="0" applyFont="1" applyBorder="1" applyAlignment="1">
      <alignment wrapText="1"/>
    </xf>
    <xf numFmtId="0" fontId="17" fillId="2" borderId="14" xfId="0" applyFont="1" applyFill="1" applyBorder="1" applyAlignment="1">
      <alignment wrapText="1"/>
    </xf>
    <xf numFmtId="0" fontId="17" fillId="2" borderId="3" xfId="0" applyFont="1" applyFill="1" applyBorder="1" applyAlignment="1">
      <alignment wrapText="1"/>
    </xf>
    <xf numFmtId="0" fontId="17" fillId="2" borderId="16" xfId="0" applyFont="1" applyFill="1" applyBorder="1" applyAlignment="1">
      <alignment wrapText="1"/>
    </xf>
    <xf numFmtId="0" fontId="17" fillId="2" borderId="2" xfId="0" applyFont="1" applyFill="1" applyBorder="1" applyAlignment="1">
      <alignment wrapText="1"/>
    </xf>
    <xf numFmtId="0" fontId="18" fillId="0" borderId="7" xfId="0" applyFont="1" applyBorder="1" applyAlignment="1">
      <alignment wrapText="1"/>
    </xf>
    <xf numFmtId="0" fontId="18" fillId="0" borderId="0" xfId="0" applyFont="1" applyAlignment="1">
      <alignment wrapText="1"/>
    </xf>
    <xf numFmtId="0" fontId="17" fillId="2" borderId="7" xfId="0" applyFont="1" applyFill="1" applyBorder="1" applyAlignment="1">
      <alignment wrapText="1"/>
    </xf>
    <xf numFmtId="0" fontId="17" fillId="2" borderId="0" xfId="0" applyFont="1" applyFill="1" applyAlignment="1">
      <alignment wrapText="1"/>
    </xf>
    <xf numFmtId="0" fontId="17" fillId="2" borderId="9" xfId="0" applyFont="1" applyFill="1" applyBorder="1" applyAlignment="1">
      <alignment wrapText="1"/>
    </xf>
    <xf numFmtId="0" fontId="17" fillId="2" borderId="10" xfId="0" applyFont="1" applyFill="1" applyBorder="1" applyAlignment="1">
      <alignment wrapText="1"/>
    </xf>
    <xf numFmtId="0" fontId="5" fillId="2" borderId="5" xfId="0" applyFont="1" applyFill="1" applyBorder="1" applyAlignment="1">
      <alignment horizontal="center" wrapText="1"/>
    </xf>
    <xf numFmtId="0" fontId="7" fillId="2" borderId="5" xfId="0" applyFont="1" applyFill="1" applyBorder="1" applyAlignment="1">
      <alignment horizontal="center" wrapText="1"/>
    </xf>
    <xf numFmtId="0" fontId="7" fillId="2" borderId="6" xfId="0" applyFont="1" applyFill="1" applyBorder="1" applyAlignment="1">
      <alignment horizontal="center" wrapText="1"/>
    </xf>
    <xf numFmtId="0" fontId="7" fillId="2" borderId="0" xfId="0" applyFont="1" applyFill="1" applyAlignment="1">
      <alignment wrapText="1"/>
    </xf>
    <xf numFmtId="0" fontId="7" fillId="2" borderId="8" xfId="0" applyFont="1" applyFill="1" applyBorder="1" applyAlignment="1">
      <alignment wrapText="1"/>
    </xf>
    <xf numFmtId="10" fontId="7" fillId="2" borderId="8" xfId="0" applyNumberFormat="1" applyFont="1" applyFill="1" applyBorder="1" applyAlignment="1">
      <alignment wrapText="1"/>
    </xf>
    <xf numFmtId="3" fontId="13" fillId="2" borderId="0" xfId="0" applyNumberFormat="1" applyFont="1" applyFill="1" applyAlignment="1">
      <alignment wrapText="1"/>
    </xf>
    <xf numFmtId="10" fontId="13" fillId="2" borderId="8" xfId="0" applyNumberFormat="1" applyFont="1" applyFill="1" applyBorder="1" applyAlignment="1">
      <alignment wrapText="1"/>
    </xf>
    <xf numFmtId="3" fontId="15" fillId="2" borderId="0" xfId="0" applyNumberFormat="1" applyFont="1" applyFill="1" applyAlignment="1">
      <alignment wrapText="1"/>
    </xf>
    <xf numFmtId="3" fontId="16" fillId="2" borderId="0" xfId="0" applyNumberFormat="1" applyFont="1" applyFill="1" applyAlignment="1">
      <alignment wrapText="1"/>
    </xf>
    <xf numFmtId="4" fontId="13" fillId="2" borderId="0" xfId="0" applyNumberFormat="1" applyFont="1" applyFill="1" applyAlignment="1">
      <alignment wrapText="1"/>
    </xf>
    <xf numFmtId="3" fontId="13" fillId="2" borderId="10" xfId="0" applyNumberFormat="1" applyFont="1" applyFill="1" applyBorder="1" applyAlignment="1">
      <alignment wrapText="1"/>
    </xf>
    <xf numFmtId="10" fontId="13" fillId="2" borderId="11" xfId="0" applyNumberFormat="1" applyFont="1" applyFill="1" applyBorder="1" applyAlignment="1">
      <alignment wrapText="1"/>
    </xf>
    <xf numFmtId="0" fontId="12" fillId="2" borderId="6" xfId="0" applyFont="1" applyFill="1" applyBorder="1" applyAlignment="1">
      <alignment wrapText="1"/>
    </xf>
    <xf numFmtId="0" fontId="12" fillId="2" borderId="13" xfId="0" applyFont="1" applyFill="1" applyBorder="1" applyAlignment="1">
      <alignment wrapText="1"/>
    </xf>
    <xf numFmtId="0" fontId="12" fillId="2" borderId="15" xfId="0" applyFont="1" applyFill="1" applyBorder="1" applyAlignment="1">
      <alignment wrapText="1"/>
    </xf>
    <xf numFmtId="3" fontId="11" fillId="2" borderId="8" xfId="0" applyNumberFormat="1" applyFont="1" applyFill="1" applyBorder="1" applyAlignment="1">
      <alignment wrapText="1"/>
    </xf>
    <xf numFmtId="0" fontId="12" fillId="2" borderId="8" xfId="0" applyFont="1" applyFill="1" applyBorder="1" applyAlignment="1">
      <alignment wrapText="1"/>
    </xf>
    <xf numFmtId="0" fontId="11" fillId="2" borderId="8" xfId="0" applyFont="1" applyFill="1" applyBorder="1" applyAlignment="1">
      <alignment wrapText="1"/>
    </xf>
    <xf numFmtId="3" fontId="12" fillId="2" borderId="15" xfId="0" applyNumberFormat="1" applyFont="1" applyFill="1" applyBorder="1" applyAlignment="1">
      <alignment wrapText="1"/>
    </xf>
    <xf numFmtId="3" fontId="11" fillId="2" borderId="17" xfId="0" applyNumberFormat="1" applyFont="1" applyFill="1" applyBorder="1" applyAlignment="1">
      <alignment wrapText="1"/>
    </xf>
    <xf numFmtId="3" fontId="12" fillId="2" borderId="8" xfId="0" applyNumberFormat="1" applyFont="1" applyFill="1" applyBorder="1" applyAlignment="1">
      <alignment wrapText="1"/>
    </xf>
    <xf numFmtId="3" fontId="11" fillId="3" borderId="8" xfId="0" applyNumberFormat="1" applyFont="1" applyFill="1" applyBorder="1" applyAlignment="1">
      <alignment wrapText="1"/>
    </xf>
    <xf numFmtId="3" fontId="12" fillId="2" borderId="17" xfId="0" applyNumberFormat="1" applyFont="1" applyFill="1" applyBorder="1" applyAlignment="1">
      <alignment wrapText="1"/>
    </xf>
    <xf numFmtId="3" fontId="12" fillId="2" borderId="11" xfId="0" applyNumberFormat="1" applyFont="1" applyFill="1" applyBorder="1" applyAlignment="1">
      <alignment wrapText="1"/>
    </xf>
    <xf numFmtId="0" fontId="5" fillId="4" borderId="0" xfId="0" applyFont="1" applyFill="1" applyAlignment="1">
      <alignment horizontal="center" wrapText="1"/>
    </xf>
    <xf numFmtId="165" fontId="2" fillId="4" borderId="0" xfId="2" applyNumberFormat="1" applyFont="1" applyFill="1" applyAlignment="1">
      <alignment wrapText="1"/>
    </xf>
    <xf numFmtId="10" fontId="2" fillId="0" borderId="0" xfId="1" applyNumberFormat="1" applyFont="1" applyAlignment="1">
      <alignment wrapText="1"/>
    </xf>
    <xf numFmtId="0" fontId="2" fillId="5" borderId="0" xfId="0" applyFont="1" applyFill="1" applyAlignment="1">
      <alignment wrapText="1"/>
    </xf>
    <xf numFmtId="164" fontId="2" fillId="5" borderId="0" xfId="2" applyFont="1" applyFill="1" applyAlignment="1">
      <alignment wrapText="1"/>
    </xf>
    <xf numFmtId="0" fontId="2" fillId="5" borderId="7" xfId="0" applyFont="1" applyFill="1" applyBorder="1" applyAlignment="1">
      <alignment wrapText="1"/>
    </xf>
    <xf numFmtId="0" fontId="3" fillId="5" borderId="0" xfId="0" applyFont="1" applyFill="1" applyAlignment="1">
      <alignment wrapText="1"/>
    </xf>
    <xf numFmtId="164" fontId="2" fillId="5" borderId="0" xfId="0" applyNumberFormat="1" applyFont="1" applyFill="1" applyAlignment="1">
      <alignment wrapText="1"/>
    </xf>
    <xf numFmtId="10" fontId="2" fillId="5" borderId="0" xfId="1" applyNumberFormat="1" applyFont="1" applyFill="1" applyAlignment="1">
      <alignment wrapText="1"/>
    </xf>
    <xf numFmtId="165" fontId="2" fillId="6" borderId="0" xfId="2" applyNumberFormat="1" applyFont="1" applyFill="1" applyAlignment="1">
      <alignment wrapText="1"/>
    </xf>
    <xf numFmtId="0" fontId="2" fillId="6" borderId="0" xfId="0" applyFont="1" applyFill="1" applyAlignment="1">
      <alignment wrapText="1"/>
    </xf>
    <xf numFmtId="165" fontId="5" fillId="6" borderId="1" xfId="2" applyNumberFormat="1" applyFont="1" applyFill="1" applyBorder="1" applyAlignment="1">
      <alignment wrapText="1"/>
    </xf>
    <xf numFmtId="165" fontId="19" fillId="4" borderId="0" xfId="2" applyNumberFormat="1" applyFont="1" applyFill="1" applyAlignment="1">
      <alignment wrapText="1"/>
    </xf>
    <xf numFmtId="165" fontId="7" fillId="6" borderId="0" xfId="2" applyNumberFormat="1" applyFont="1" applyFill="1" applyAlignment="1">
      <alignment wrapText="1"/>
    </xf>
    <xf numFmtId="165" fontId="19" fillId="6" borderId="0" xfId="2" applyNumberFormat="1" applyFont="1" applyFill="1" applyAlignment="1">
      <alignment wrapText="1"/>
    </xf>
    <xf numFmtId="10" fontId="2" fillId="4" borderId="0" xfId="0" applyNumberFormat="1" applyFont="1" applyFill="1" applyAlignment="1">
      <alignment wrapText="1"/>
    </xf>
    <xf numFmtId="164" fontId="20" fillId="4" borderId="0" xfId="2" applyFont="1" applyFill="1" applyAlignment="1">
      <alignment wrapText="1"/>
    </xf>
    <xf numFmtId="165" fontId="20" fillId="4" borderId="0" xfId="2" applyNumberFormat="1" applyFont="1" applyFill="1" applyAlignment="1">
      <alignment wrapText="1"/>
    </xf>
    <xf numFmtId="9" fontId="20" fillId="4" borderId="0" xfId="0" applyNumberFormat="1" applyFont="1" applyFill="1" applyAlignment="1">
      <alignment wrapText="1"/>
    </xf>
    <xf numFmtId="10" fontId="2" fillId="4" borderId="0" xfId="1" applyNumberFormat="1" applyFont="1" applyFill="1" applyAlignment="1">
      <alignment wrapText="1"/>
    </xf>
    <xf numFmtId="0" fontId="2" fillId="7" borderId="0" xfId="0" applyFont="1" applyFill="1" applyAlignment="1">
      <alignment wrapText="1"/>
    </xf>
    <xf numFmtId="165" fontId="19" fillId="7" borderId="0" xfId="2" applyNumberFormat="1" applyFont="1" applyFill="1" applyAlignment="1">
      <alignment wrapText="1"/>
    </xf>
    <xf numFmtId="165" fontId="20" fillId="7" borderId="0" xfId="2" applyNumberFormat="1" applyFont="1" applyFill="1" applyAlignment="1">
      <alignment wrapText="1"/>
    </xf>
    <xf numFmtId="165" fontId="21" fillId="6" borderId="1" xfId="2" applyNumberFormat="1" applyFont="1" applyFill="1" applyBorder="1" applyAlignment="1">
      <alignment wrapText="1"/>
    </xf>
    <xf numFmtId="3" fontId="7" fillId="2" borderId="1" xfId="0" applyNumberFormat="1" applyFont="1" applyFill="1" applyBorder="1" applyAlignment="1">
      <alignment wrapText="1"/>
    </xf>
    <xf numFmtId="0" fontId="2" fillId="8" borderId="0" xfId="0" applyFont="1" applyFill="1" applyAlignment="1">
      <alignment wrapText="1"/>
    </xf>
    <xf numFmtId="0" fontId="13" fillId="8" borderId="0" xfId="0" applyFont="1" applyFill="1" applyAlignment="1">
      <alignment wrapText="1"/>
    </xf>
    <xf numFmtId="165" fontId="13" fillId="8" borderId="0" xfId="0" applyNumberFormat="1" applyFont="1" applyFill="1" applyAlignment="1">
      <alignment wrapText="1"/>
    </xf>
    <xf numFmtId="3" fontId="12" fillId="8" borderId="0" xfId="0" applyNumberFormat="1" applyFont="1" applyFill="1" applyAlignment="1">
      <alignment wrapText="1"/>
    </xf>
    <xf numFmtId="3" fontId="13" fillId="8" borderId="0" xfId="0" applyNumberFormat="1" applyFont="1" applyFill="1" applyAlignment="1">
      <alignment wrapText="1"/>
    </xf>
    <xf numFmtId="3" fontId="11" fillId="3" borderId="0" xfId="0" applyNumberFormat="1" applyFont="1" applyFill="1" applyAlignment="1">
      <alignment wrapText="1"/>
    </xf>
    <xf numFmtId="3" fontId="28" fillId="8" borderId="0" xfId="0" applyNumberFormat="1" applyFont="1" applyFill="1" applyAlignment="1">
      <alignment wrapText="1"/>
    </xf>
    <xf numFmtId="0" fontId="29" fillId="0" borderId="0" xfId="0" applyFont="1" applyAlignment="1">
      <alignment wrapText="1"/>
    </xf>
    <xf numFmtId="0" fontId="28" fillId="8" borderId="0" xfId="0" applyFont="1" applyFill="1" applyAlignment="1">
      <alignment wrapText="1"/>
    </xf>
    <xf numFmtId="3" fontId="30" fillId="8" borderId="0" xfId="0" applyNumberFormat="1" applyFont="1" applyFill="1" applyAlignment="1">
      <alignment wrapText="1"/>
    </xf>
    <xf numFmtId="0" fontId="4" fillId="0" borderId="0" xfId="0" applyFont="1" applyAlignment="1">
      <alignment wrapText="1"/>
    </xf>
    <xf numFmtId="3" fontId="31" fillId="8" borderId="0" xfId="0" applyNumberFormat="1" applyFont="1" applyFill="1" applyAlignment="1">
      <alignment wrapText="1"/>
    </xf>
    <xf numFmtId="0" fontId="32" fillId="0" borderId="0" xfId="0" applyFont="1" applyAlignment="1">
      <alignment wrapText="1"/>
    </xf>
    <xf numFmtId="9" fontId="22" fillId="7" borderId="0" xfId="0" applyNumberFormat="1" applyFont="1" applyFill="1" applyAlignment="1">
      <alignment wrapText="1"/>
    </xf>
    <xf numFmtId="165" fontId="22" fillId="7" borderId="0" xfId="2" applyNumberFormat="1" applyFont="1" applyFill="1" applyAlignment="1">
      <alignment wrapText="1"/>
    </xf>
    <xf numFmtId="165" fontId="21" fillId="6" borderId="0" xfId="2" applyNumberFormat="1" applyFont="1" applyFill="1" applyAlignment="1">
      <alignment wrapText="1"/>
    </xf>
    <xf numFmtId="0" fontId="21" fillId="0" borderId="0" xfId="0" applyFont="1" applyAlignment="1">
      <alignment wrapText="1"/>
    </xf>
    <xf numFmtId="165" fontId="28" fillId="9" borderId="0" xfId="0" applyNumberFormat="1" applyFont="1" applyFill="1" applyAlignment="1">
      <alignment wrapText="1"/>
    </xf>
    <xf numFmtId="165" fontId="13" fillId="6" borderId="0" xfId="2" applyNumberFormat="1" applyFont="1" applyFill="1" applyAlignment="1">
      <alignment wrapText="1"/>
    </xf>
    <xf numFmtId="165" fontId="33" fillId="6" borderId="0" xfId="2" applyNumberFormat="1" applyFont="1" applyFill="1" applyAlignment="1">
      <alignment wrapText="1"/>
    </xf>
    <xf numFmtId="0" fontId="33" fillId="0" borderId="0" xfId="0" applyFont="1" applyAlignment="1">
      <alignment wrapText="1"/>
    </xf>
    <xf numFmtId="0" fontId="34" fillId="0" borderId="0" xfId="0" applyFont="1" applyAlignment="1">
      <alignment wrapText="1"/>
    </xf>
    <xf numFmtId="165" fontId="21" fillId="6" borderId="0" xfId="2" applyNumberFormat="1" applyFont="1" applyFill="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7" fillId="2" borderId="4" xfId="0" applyFont="1" applyFill="1" applyBorder="1" applyAlignment="1">
      <alignment horizontal="center" wrapText="1"/>
    </xf>
    <xf numFmtId="0" fontId="7" fillId="2" borderId="5" xfId="0" applyFont="1" applyFill="1" applyBorder="1" applyAlignment="1">
      <alignment horizontal="center" wrapText="1"/>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3"/>
  <sheetViews>
    <sheetView tabSelected="1" zoomScale="98" zoomScaleNormal="98" workbookViewId="0">
      <pane xSplit="2" ySplit="1" topLeftCell="C2" activePane="bottomRight" state="frozen"/>
      <selection pane="topRight" activeCell="E1" sqref="E1"/>
      <selection pane="bottomLeft" activeCell="A2" sqref="A2"/>
      <selection pane="bottomRight" activeCell="B5" sqref="B5"/>
    </sheetView>
  </sheetViews>
  <sheetFormatPr defaultColWidth="44.28515625" defaultRowHeight="12.75" x14ac:dyDescent="0.2"/>
  <cols>
    <col min="1" max="1" width="34.85546875" style="1" customWidth="1"/>
    <col min="2" max="2" width="32.7109375" style="1" customWidth="1"/>
    <col min="3" max="3" width="12.7109375" style="1" bestFit="1" customWidth="1"/>
    <col min="4" max="4" width="15.5703125" style="1" bestFit="1" customWidth="1"/>
    <col min="5" max="5" width="12.7109375" style="1" customWidth="1"/>
    <col min="6" max="6" width="15.5703125" style="1" customWidth="1"/>
    <col min="7" max="7" width="11.42578125" style="1" bestFit="1" customWidth="1"/>
    <col min="8" max="8" width="17.140625" style="1" bestFit="1" customWidth="1"/>
    <col min="9" max="9" width="11.42578125" style="1" bestFit="1" customWidth="1"/>
    <col min="10" max="10" width="17.140625" style="1" bestFit="1" customWidth="1"/>
    <col min="11" max="11" width="11.42578125" style="1" bestFit="1" customWidth="1"/>
    <col min="12" max="12" width="17.140625" style="1" bestFit="1" customWidth="1"/>
    <col min="13" max="13" width="11.42578125" style="1" bestFit="1" customWidth="1"/>
    <col min="14" max="14" width="17.140625" style="1" bestFit="1" customWidth="1"/>
    <col min="15" max="15" width="11.42578125" style="1" bestFit="1" customWidth="1"/>
    <col min="16" max="16" width="17.140625" style="1" bestFit="1" customWidth="1"/>
    <col min="17" max="16384" width="44.28515625" style="1"/>
  </cols>
  <sheetData>
    <row r="1" spans="1:16" s="2" customFormat="1" ht="46.5" customHeight="1" x14ac:dyDescent="0.3">
      <c r="A1" s="145" t="s">
        <v>179</v>
      </c>
      <c r="B1" s="146"/>
      <c r="C1" s="72" t="s">
        <v>161</v>
      </c>
      <c r="D1" s="13" t="s">
        <v>162</v>
      </c>
      <c r="E1" s="72" t="s">
        <v>71</v>
      </c>
      <c r="F1" s="14" t="s">
        <v>72</v>
      </c>
      <c r="G1" s="97" t="s">
        <v>207</v>
      </c>
      <c r="H1" s="144" t="s">
        <v>214</v>
      </c>
      <c r="I1" s="97" t="s">
        <v>207</v>
      </c>
      <c r="J1" s="144" t="s">
        <v>215</v>
      </c>
      <c r="K1" s="97" t="s">
        <v>207</v>
      </c>
      <c r="L1" s="144" t="s">
        <v>216</v>
      </c>
      <c r="M1" s="97" t="s">
        <v>207</v>
      </c>
      <c r="N1" s="144" t="s">
        <v>217</v>
      </c>
      <c r="O1" s="97" t="s">
        <v>207</v>
      </c>
      <c r="P1" s="144" t="s">
        <v>220</v>
      </c>
    </row>
    <row r="2" spans="1:16" x14ac:dyDescent="0.2">
      <c r="A2" s="15" t="s">
        <v>0</v>
      </c>
      <c r="B2" s="16" t="s">
        <v>13</v>
      </c>
      <c r="C2" s="17"/>
      <c r="D2" s="17"/>
      <c r="E2" s="17"/>
      <c r="F2" s="18"/>
      <c r="H2" s="106"/>
      <c r="J2" s="106"/>
      <c r="L2" s="106"/>
      <c r="N2" s="106"/>
      <c r="P2" s="106"/>
    </row>
    <row r="3" spans="1:16" x14ac:dyDescent="0.2">
      <c r="A3" s="19"/>
      <c r="B3" s="20"/>
      <c r="C3" s="17"/>
      <c r="D3" s="17"/>
      <c r="E3" s="17"/>
      <c r="F3" s="18"/>
      <c r="H3" s="106"/>
      <c r="J3" s="106"/>
      <c r="L3" s="106"/>
      <c r="N3" s="106"/>
      <c r="P3" s="106"/>
    </row>
    <row r="4" spans="1:16" x14ac:dyDescent="0.2">
      <c r="A4" s="15" t="s">
        <v>1</v>
      </c>
      <c r="B4" s="16" t="s">
        <v>14</v>
      </c>
      <c r="C4" s="17"/>
      <c r="D4" s="17"/>
      <c r="E4" s="17"/>
      <c r="F4" s="18"/>
      <c r="H4" s="106"/>
      <c r="J4" s="106"/>
      <c r="L4" s="106"/>
      <c r="N4" s="106"/>
      <c r="P4" s="106"/>
    </row>
    <row r="5" spans="1:16" x14ac:dyDescent="0.2">
      <c r="A5" s="19" t="s">
        <v>11</v>
      </c>
      <c r="B5" s="20" t="s">
        <v>33</v>
      </c>
      <c r="C5" s="21">
        <v>83000</v>
      </c>
      <c r="D5" s="22">
        <f t="shared" ref="D5:D10" si="0">+C5/C$28</f>
        <v>7.5454545454545455E-2</v>
      </c>
      <c r="E5" s="21">
        <v>78000</v>
      </c>
      <c r="F5" s="23">
        <f t="shared" ref="F5:F10" si="1">+E5/E$28</f>
        <v>8.0412371134020624E-2</v>
      </c>
      <c r="G5" s="119">
        <v>20000</v>
      </c>
      <c r="H5" s="119">
        <f>+G5</f>
        <v>20000</v>
      </c>
      <c r="I5" s="119">
        <v>50000</v>
      </c>
      <c r="J5" s="119">
        <f>+I5</f>
        <v>50000</v>
      </c>
      <c r="K5" s="119">
        <v>60000</v>
      </c>
      <c r="L5" s="119">
        <f>+K5</f>
        <v>60000</v>
      </c>
      <c r="M5" s="119">
        <v>70000</v>
      </c>
      <c r="N5" s="119">
        <f>+M5</f>
        <v>70000</v>
      </c>
      <c r="O5" s="119">
        <v>70000</v>
      </c>
      <c r="P5" s="119">
        <f>+O5</f>
        <v>70000</v>
      </c>
    </row>
    <row r="6" spans="1:16" x14ac:dyDescent="0.2">
      <c r="A6" s="19" t="s">
        <v>165</v>
      </c>
      <c r="B6" s="20" t="s">
        <v>44</v>
      </c>
      <c r="C6" s="21">
        <v>6000</v>
      </c>
      <c r="D6" s="22">
        <f t="shared" si="0"/>
        <v>5.454545454545455E-3</v>
      </c>
      <c r="E6" s="21">
        <v>4000</v>
      </c>
      <c r="F6" s="23">
        <f t="shared" si="1"/>
        <v>4.1237113402061857E-3</v>
      </c>
      <c r="G6" s="99">
        <f t="shared" ref="G6:G10" si="2">+C6/C$68</f>
        <v>0.03</v>
      </c>
      <c r="H6" s="106">
        <f>+G6*H$68</f>
        <v>6300</v>
      </c>
      <c r="I6" s="99">
        <f>+H6/H$68</f>
        <v>0.03</v>
      </c>
      <c r="J6" s="106">
        <f>+I6*J$68</f>
        <v>6615</v>
      </c>
      <c r="K6" s="99">
        <f>+J6/J$68</f>
        <v>0.03</v>
      </c>
      <c r="L6" s="106">
        <f>+K6*L$68</f>
        <v>6945.75</v>
      </c>
      <c r="M6" s="99">
        <f>+L6/L$68</f>
        <v>0.03</v>
      </c>
      <c r="N6" s="106">
        <f>+M6*N$68</f>
        <v>7293.0374999999995</v>
      </c>
      <c r="O6" s="99">
        <f>+N6/N$68</f>
        <v>0.03</v>
      </c>
      <c r="P6" s="106">
        <f>+O6*P$68</f>
        <v>7657.6893749999999</v>
      </c>
    </row>
    <row r="7" spans="1:16" x14ac:dyDescent="0.2">
      <c r="A7" s="19" t="s">
        <v>166</v>
      </c>
      <c r="B7" s="20" t="s">
        <v>45</v>
      </c>
      <c r="C7" s="21">
        <v>300</v>
      </c>
      <c r="D7" s="22">
        <f t="shared" si="0"/>
        <v>2.7272727272727274E-4</v>
      </c>
      <c r="E7" s="21">
        <v>200</v>
      </c>
      <c r="F7" s="23">
        <f t="shared" si="1"/>
        <v>2.0618556701030929E-4</v>
      </c>
      <c r="G7" s="99">
        <f t="shared" si="2"/>
        <v>1.5E-3</v>
      </c>
      <c r="H7" s="106">
        <f t="shared" ref="H7:J10" si="3">+G7*H$68</f>
        <v>315</v>
      </c>
      <c r="I7" s="99">
        <f t="shared" ref="I7:I10" si="4">+H7/H$68</f>
        <v>1.5E-3</v>
      </c>
      <c r="J7" s="106">
        <f t="shared" si="3"/>
        <v>330.75</v>
      </c>
      <c r="K7" s="99">
        <f t="shared" ref="K7" si="5">+J7/J$68</f>
        <v>1.5E-3</v>
      </c>
      <c r="L7" s="106">
        <f t="shared" ref="L7:L10" si="6">+K7*L$68</f>
        <v>347.28750000000002</v>
      </c>
      <c r="M7" s="99">
        <f t="shared" ref="M7" si="7">+L7/L$68</f>
        <v>1.5E-3</v>
      </c>
      <c r="N7" s="106">
        <f t="shared" ref="N7:N10" si="8">+M7*N$68</f>
        <v>364.65187500000002</v>
      </c>
      <c r="O7" s="99">
        <f t="shared" ref="O7:O10" si="9">+N7/N$68</f>
        <v>1.5E-3</v>
      </c>
      <c r="P7" s="106">
        <f t="shared" ref="P7:P10" si="10">+O7*P$68</f>
        <v>382.88446875</v>
      </c>
    </row>
    <row r="8" spans="1:16" x14ac:dyDescent="0.2">
      <c r="A8" s="19" t="s">
        <v>111</v>
      </c>
      <c r="B8" s="20" t="s">
        <v>46</v>
      </c>
      <c r="C8" s="21">
        <v>5000</v>
      </c>
      <c r="D8" s="22">
        <f t="shared" si="0"/>
        <v>4.5454545454545452E-3</v>
      </c>
      <c r="E8" s="21">
        <v>7000</v>
      </c>
      <c r="F8" s="23">
        <f t="shared" si="1"/>
        <v>7.2164948453608251E-3</v>
      </c>
      <c r="G8" s="99">
        <f t="shared" si="2"/>
        <v>2.5000000000000001E-2</v>
      </c>
      <c r="H8" s="106">
        <f t="shared" si="3"/>
        <v>5250</v>
      </c>
      <c r="I8" s="99">
        <f t="shared" si="4"/>
        <v>2.5000000000000001E-2</v>
      </c>
      <c r="J8" s="106">
        <f t="shared" si="3"/>
        <v>5512.5</v>
      </c>
      <c r="K8" s="99">
        <f t="shared" ref="K8" si="11">+J8/J$68</f>
        <v>2.5000000000000001E-2</v>
      </c>
      <c r="L8" s="106">
        <f t="shared" si="6"/>
        <v>5788.125</v>
      </c>
      <c r="M8" s="99">
        <f t="shared" ref="M8" si="12">+L8/L$68</f>
        <v>2.5000000000000001E-2</v>
      </c>
      <c r="N8" s="106">
        <f t="shared" si="8"/>
        <v>6077.53125</v>
      </c>
      <c r="O8" s="99">
        <f t="shared" si="9"/>
        <v>2.5000000000000001E-2</v>
      </c>
      <c r="P8" s="106">
        <f t="shared" si="10"/>
        <v>6381.4078125000005</v>
      </c>
    </row>
    <row r="9" spans="1:16" ht="25.5" x14ac:dyDescent="0.2">
      <c r="A9" s="19" t="s">
        <v>10</v>
      </c>
      <c r="B9" s="20" t="s">
        <v>34</v>
      </c>
      <c r="C9" s="21">
        <v>2000</v>
      </c>
      <c r="D9" s="22">
        <f t="shared" si="0"/>
        <v>1.8181818181818182E-3</v>
      </c>
      <c r="E9" s="21">
        <v>1500</v>
      </c>
      <c r="F9" s="23">
        <f t="shared" si="1"/>
        <v>1.5463917525773195E-3</v>
      </c>
      <c r="G9" s="99">
        <f t="shared" si="2"/>
        <v>0.01</v>
      </c>
      <c r="H9" s="106">
        <f t="shared" si="3"/>
        <v>2100</v>
      </c>
      <c r="I9" s="99">
        <f t="shared" si="4"/>
        <v>0.01</v>
      </c>
      <c r="J9" s="106">
        <f t="shared" si="3"/>
        <v>2205</v>
      </c>
      <c r="K9" s="99">
        <f t="shared" ref="K9" si="13">+J9/J$68</f>
        <v>0.01</v>
      </c>
      <c r="L9" s="106">
        <f t="shared" si="6"/>
        <v>2315.25</v>
      </c>
      <c r="M9" s="99">
        <f t="shared" ref="M9" si="14">+L9/L$68</f>
        <v>0.01</v>
      </c>
      <c r="N9" s="106">
        <f t="shared" si="8"/>
        <v>2431.0125000000003</v>
      </c>
      <c r="O9" s="99">
        <f t="shared" si="9"/>
        <v>1.0000000000000002E-2</v>
      </c>
      <c r="P9" s="106">
        <f t="shared" si="10"/>
        <v>2552.5631250000006</v>
      </c>
    </row>
    <row r="10" spans="1:16" ht="15" x14ac:dyDescent="0.35">
      <c r="A10" s="19" t="s">
        <v>201</v>
      </c>
      <c r="B10" s="20" t="s">
        <v>54</v>
      </c>
      <c r="C10" s="24">
        <v>3700</v>
      </c>
      <c r="D10" s="25">
        <f t="shared" si="0"/>
        <v>3.3636363636363638E-3</v>
      </c>
      <c r="E10" s="24">
        <v>3300</v>
      </c>
      <c r="F10" s="26">
        <f t="shared" si="1"/>
        <v>3.402061855670103E-3</v>
      </c>
      <c r="G10" s="99">
        <f t="shared" si="2"/>
        <v>1.8499999999999999E-2</v>
      </c>
      <c r="H10" s="111">
        <f t="shared" si="3"/>
        <v>3885</v>
      </c>
      <c r="I10" s="99">
        <f t="shared" si="4"/>
        <v>1.8499999999999999E-2</v>
      </c>
      <c r="J10" s="111">
        <f t="shared" si="3"/>
        <v>4079.25</v>
      </c>
      <c r="K10" s="99">
        <f t="shared" ref="K10" si="15">+J10/J$68</f>
        <v>1.8499999999999999E-2</v>
      </c>
      <c r="L10" s="111">
        <f t="shared" si="6"/>
        <v>4283.2124999999996</v>
      </c>
      <c r="M10" s="99">
        <f t="shared" ref="M10" si="16">+L10/L$68</f>
        <v>1.8499999999999999E-2</v>
      </c>
      <c r="N10" s="111">
        <f t="shared" si="8"/>
        <v>4497.3731250000001</v>
      </c>
      <c r="O10" s="99">
        <f t="shared" si="9"/>
        <v>1.8499999999999999E-2</v>
      </c>
      <c r="P10" s="111">
        <f t="shared" si="10"/>
        <v>4722.2417812499998</v>
      </c>
    </row>
    <row r="11" spans="1:16" x14ac:dyDescent="0.2">
      <c r="A11" s="19"/>
      <c r="B11" s="20"/>
      <c r="C11" s="21"/>
      <c r="D11" s="22"/>
      <c r="E11" s="21"/>
      <c r="F11" s="23"/>
      <c r="H11" s="106"/>
      <c r="J11" s="106"/>
      <c r="L11" s="106"/>
      <c r="N11" s="106"/>
      <c r="P11" s="106"/>
    </row>
    <row r="12" spans="1:16" ht="15.75" x14ac:dyDescent="0.25">
      <c r="A12" s="27" t="s">
        <v>20</v>
      </c>
      <c r="B12" s="28" t="s">
        <v>35</v>
      </c>
      <c r="C12" s="29">
        <f>SUM(C5:C11)</f>
        <v>100000</v>
      </c>
      <c r="D12" s="30">
        <f>+C12/C$28</f>
        <v>9.0909090909090912E-2</v>
      </c>
      <c r="E12" s="29">
        <f>SUM(E5:E11)</f>
        <v>94000</v>
      </c>
      <c r="F12" s="31">
        <f>+E12/E$28</f>
        <v>9.6907216494845363E-2</v>
      </c>
      <c r="H12" s="141">
        <f>SUM(H5:H11)</f>
        <v>37850</v>
      </c>
      <c r="I12" s="142"/>
      <c r="J12" s="141">
        <f>SUM(J5:J11)</f>
        <v>68742.5</v>
      </c>
      <c r="K12" s="142"/>
      <c r="L12" s="141">
        <f>SUM(L5:L11)</f>
        <v>79679.625</v>
      </c>
      <c r="M12" s="142"/>
      <c r="N12" s="141">
        <f>SUM(N5:N11)</f>
        <v>90663.606249999997</v>
      </c>
      <c r="O12" s="142"/>
      <c r="P12" s="141">
        <f>SUM(P5:P11)</f>
        <v>91696.786562499998</v>
      </c>
    </row>
    <row r="13" spans="1:16" x14ac:dyDescent="0.2">
      <c r="A13" s="19"/>
      <c r="B13" s="20"/>
      <c r="C13" s="21"/>
      <c r="D13" s="22"/>
      <c r="E13" s="21"/>
      <c r="F13" s="23"/>
      <c r="H13" s="106"/>
      <c r="J13" s="106"/>
      <c r="L13" s="106"/>
      <c r="N13" s="106"/>
      <c r="P13" s="106"/>
    </row>
    <row r="14" spans="1:16" x14ac:dyDescent="0.2">
      <c r="A14" s="15" t="s">
        <v>2</v>
      </c>
      <c r="B14" s="16" t="s">
        <v>15</v>
      </c>
      <c r="C14" s="17"/>
      <c r="D14" s="22"/>
      <c r="E14" s="17"/>
      <c r="F14" s="23"/>
      <c r="H14" s="106"/>
      <c r="J14" s="106"/>
      <c r="L14" s="106"/>
      <c r="N14" s="106"/>
      <c r="P14" s="106"/>
    </row>
    <row r="15" spans="1:16" ht="38.25" x14ac:dyDescent="0.2">
      <c r="A15" s="19" t="s">
        <v>167</v>
      </c>
      <c r="B15" s="20" t="s">
        <v>47</v>
      </c>
      <c r="C15" s="21">
        <v>50000</v>
      </c>
      <c r="D15" s="22">
        <f>+C15/C$28</f>
        <v>4.5454545454545456E-2</v>
      </c>
      <c r="E15" s="21">
        <v>30000</v>
      </c>
      <c r="F15" s="23">
        <f>+E15/E$28</f>
        <v>3.0927835051546393E-2</v>
      </c>
      <c r="G15" s="119">
        <v>25000</v>
      </c>
      <c r="H15" s="119">
        <f>+G15</f>
        <v>25000</v>
      </c>
      <c r="I15" s="119">
        <v>70000</v>
      </c>
      <c r="J15" s="119">
        <f>+I15</f>
        <v>70000</v>
      </c>
      <c r="K15" s="119">
        <v>100000</v>
      </c>
      <c r="L15" s="119">
        <f>+K15</f>
        <v>100000</v>
      </c>
      <c r="M15" s="119">
        <v>20000</v>
      </c>
      <c r="N15" s="119">
        <f>+M15</f>
        <v>20000</v>
      </c>
      <c r="O15" s="119">
        <v>20000</v>
      </c>
      <c r="P15" s="119">
        <f>+O15</f>
        <v>20000</v>
      </c>
    </row>
    <row r="16" spans="1:16" x14ac:dyDescent="0.2">
      <c r="A16" s="19" t="s">
        <v>168</v>
      </c>
      <c r="B16" s="20" t="s">
        <v>48</v>
      </c>
      <c r="C16" s="21">
        <v>1100000</v>
      </c>
      <c r="D16" s="22">
        <f>+C16/C$28</f>
        <v>1</v>
      </c>
      <c r="E16" s="21">
        <v>990000</v>
      </c>
      <c r="F16" s="23">
        <f>+E16/E$28</f>
        <v>1.0206185567010309</v>
      </c>
      <c r="G16" s="112">
        <f>+C16/C$68</f>
        <v>5.5</v>
      </c>
      <c r="H16" s="98">
        <f>(C15-G15)+G16*H$68</f>
        <v>1180000</v>
      </c>
      <c r="I16" s="112">
        <f>+H16/H$68</f>
        <v>5.6190476190476186</v>
      </c>
      <c r="J16" s="98">
        <f>(H15-I15)+I16*J$68</f>
        <v>1194000</v>
      </c>
      <c r="K16" s="112">
        <f>+J16/J$68</f>
        <v>5.4149659863945576</v>
      </c>
      <c r="L16" s="98">
        <f>(J15-K15)+K16*L$68</f>
        <v>1223700</v>
      </c>
      <c r="M16" s="112">
        <f>+L16/L$68</f>
        <v>5.285390346614836</v>
      </c>
      <c r="N16" s="98">
        <f>(L15-M15)+M16*N$68</f>
        <v>1364885</v>
      </c>
      <c r="O16" s="112">
        <f>+N16/N$68</f>
        <v>5.6144713365315893</v>
      </c>
      <c r="P16" s="98">
        <f>(N15-O15)+O16*P$68</f>
        <v>1433129.25</v>
      </c>
    </row>
    <row r="17" spans="1:16" ht="15" x14ac:dyDescent="0.35">
      <c r="A17" s="19" t="s">
        <v>169</v>
      </c>
      <c r="B17" s="20" t="s">
        <v>49</v>
      </c>
      <c r="C17" s="24">
        <v>-200000</v>
      </c>
      <c r="D17" s="25">
        <f>+C17/C$28</f>
        <v>-0.18181818181818182</v>
      </c>
      <c r="E17" s="24">
        <v>-175000</v>
      </c>
      <c r="F17" s="26">
        <f>+E17/E$28</f>
        <v>-0.18041237113402062</v>
      </c>
      <c r="G17" s="112">
        <f>+C74/C16</f>
        <v>4.5454545454545456E-2</v>
      </c>
      <c r="H17" s="109">
        <f>+C17-G17*C16</f>
        <v>-250000</v>
      </c>
      <c r="I17" s="112">
        <f>+H74/H16</f>
        <v>4.3728813559322031E-2</v>
      </c>
      <c r="J17" s="109">
        <f>+H17-I17*H16</f>
        <v>-301600</v>
      </c>
      <c r="K17" s="112">
        <f>+J74/J16</f>
        <v>4.4623115577889449E-2</v>
      </c>
      <c r="L17" s="109">
        <f>+J17-K17*J16</f>
        <v>-354880</v>
      </c>
      <c r="M17" s="112">
        <f>+L74/L16</f>
        <v>4.4981613140475607E-2</v>
      </c>
      <c r="N17" s="109">
        <f>+L17-M17*L16</f>
        <v>-409924</v>
      </c>
      <c r="O17" s="112">
        <f>+N74/N16</f>
        <v>4.1685709785073466E-2</v>
      </c>
      <c r="P17" s="109">
        <f>+N17-O17*N16</f>
        <v>-466820.2</v>
      </c>
    </row>
    <row r="18" spans="1:16" x14ac:dyDescent="0.2">
      <c r="A18" s="19" t="s">
        <v>170</v>
      </c>
      <c r="B18" s="20" t="s">
        <v>50</v>
      </c>
      <c r="C18" s="21">
        <f>C16+C17</f>
        <v>900000</v>
      </c>
      <c r="D18" s="22">
        <f>+C18/C$28</f>
        <v>0.81818181818181823</v>
      </c>
      <c r="E18" s="21">
        <f>E16+E17</f>
        <v>815000</v>
      </c>
      <c r="F18" s="23">
        <f>+E18/E$28</f>
        <v>0.84020618556701032</v>
      </c>
      <c r="H18" s="106">
        <f>+H15+H16+H17</f>
        <v>955000</v>
      </c>
      <c r="J18" s="106">
        <f>+J15+J16+J17</f>
        <v>962400</v>
      </c>
      <c r="L18" s="106">
        <f>+L15+L16+L17</f>
        <v>968820</v>
      </c>
      <c r="N18" s="106">
        <f>+N15+N16+N17</f>
        <v>974961</v>
      </c>
      <c r="P18" s="106">
        <f>+P15+P16+P17</f>
        <v>986309.05</v>
      </c>
    </row>
    <row r="19" spans="1:16" ht="15" x14ac:dyDescent="0.35">
      <c r="A19" s="19" t="s">
        <v>171</v>
      </c>
      <c r="B19" s="20" t="s">
        <v>51</v>
      </c>
      <c r="C19" s="24">
        <v>20000</v>
      </c>
      <c r="D19" s="25">
        <f>+C19/C$28</f>
        <v>1.8181818181818181E-2</v>
      </c>
      <c r="E19" s="24">
        <v>15000</v>
      </c>
      <c r="F19" s="26">
        <f>+E19/E$28</f>
        <v>1.5463917525773196E-2</v>
      </c>
      <c r="G19" s="99">
        <f>+C19/C$68</f>
        <v>0.1</v>
      </c>
      <c r="H19" s="111">
        <f t="shared" ref="H19:J19" si="17">+G19*H$68</f>
        <v>21000</v>
      </c>
      <c r="I19" s="99">
        <f>+H19/H$68</f>
        <v>0.1</v>
      </c>
      <c r="J19" s="111">
        <f t="shared" si="17"/>
        <v>22050</v>
      </c>
      <c r="K19" s="99">
        <f>+J19/J$68</f>
        <v>0.1</v>
      </c>
      <c r="L19" s="111">
        <f t="shared" ref="L19" si="18">+K19*L$68</f>
        <v>23152.5</v>
      </c>
      <c r="M19" s="99">
        <f>+L19/L$68</f>
        <v>0.1</v>
      </c>
      <c r="N19" s="111">
        <f t="shared" ref="N19" si="19">+M19*N$68</f>
        <v>24310.125</v>
      </c>
      <c r="O19" s="99">
        <f>+N19/N$68</f>
        <v>0.1</v>
      </c>
      <c r="P19" s="111">
        <f t="shared" ref="P19" si="20">+O19*P$68</f>
        <v>25525.631250000002</v>
      </c>
    </row>
    <row r="20" spans="1:16" x14ac:dyDescent="0.2">
      <c r="A20" s="19"/>
      <c r="B20" s="20"/>
      <c r="C20" s="17"/>
      <c r="D20" s="22"/>
      <c r="E20" s="17"/>
      <c r="F20" s="23"/>
      <c r="H20" s="106"/>
      <c r="J20" s="106"/>
      <c r="L20" s="106"/>
      <c r="N20" s="106"/>
      <c r="P20" s="106"/>
    </row>
    <row r="21" spans="1:16" ht="15.75" x14ac:dyDescent="0.25">
      <c r="A21" s="27" t="s">
        <v>21</v>
      </c>
      <c r="B21" s="28" t="s">
        <v>36</v>
      </c>
      <c r="C21" s="29">
        <f>+C15+C18+C19</f>
        <v>970000</v>
      </c>
      <c r="D21" s="30">
        <f>+C21/C$28</f>
        <v>0.88181818181818183</v>
      </c>
      <c r="E21" s="29">
        <f>+E15+E18+E19</f>
        <v>860000</v>
      </c>
      <c r="F21" s="31">
        <f>+E21/E$28</f>
        <v>0.88659793814432986</v>
      </c>
      <c r="H21" s="141">
        <f>+H19+H18+H15</f>
        <v>1001000</v>
      </c>
      <c r="I21" s="142"/>
      <c r="J21" s="141">
        <f>+J19+J18+J15</f>
        <v>1054450</v>
      </c>
      <c r="K21" s="142"/>
      <c r="L21" s="141">
        <f>+L19+L18+L15</f>
        <v>1091972.5</v>
      </c>
      <c r="M21" s="142"/>
      <c r="N21" s="141">
        <f>+N19+N18+N15</f>
        <v>1019271.125</v>
      </c>
      <c r="O21" s="142"/>
      <c r="P21" s="141">
        <f>+P19+P18+P15</f>
        <v>1031834.68125</v>
      </c>
    </row>
    <row r="22" spans="1:16" x14ac:dyDescent="0.2">
      <c r="A22" s="19"/>
      <c r="B22" s="20"/>
      <c r="C22" s="17"/>
      <c r="D22" s="22"/>
      <c r="E22" s="17"/>
      <c r="F22" s="23"/>
      <c r="H22" s="106"/>
      <c r="J22" s="106"/>
      <c r="L22" s="106"/>
      <c r="N22" s="106"/>
      <c r="P22" s="106"/>
    </row>
    <row r="23" spans="1:16" ht="25.5" x14ac:dyDescent="0.2">
      <c r="A23" s="15" t="s">
        <v>3</v>
      </c>
      <c r="B23" s="16" t="s">
        <v>52</v>
      </c>
      <c r="C23" s="17"/>
      <c r="D23" s="22"/>
      <c r="E23" s="17"/>
      <c r="F23" s="23"/>
      <c r="H23" s="106"/>
      <c r="J23" s="106"/>
      <c r="L23" s="106"/>
      <c r="N23" s="106"/>
      <c r="P23" s="106"/>
    </row>
    <row r="24" spans="1:16" x14ac:dyDescent="0.2">
      <c r="A24" s="19" t="s">
        <v>22</v>
      </c>
      <c r="B24" s="20" t="s">
        <v>53</v>
      </c>
      <c r="C24" s="21">
        <v>4000</v>
      </c>
      <c r="D24" s="22">
        <f>+C24/C$28</f>
        <v>3.6363636363636364E-3</v>
      </c>
      <c r="E24" s="21">
        <v>4500</v>
      </c>
      <c r="F24" s="23">
        <f>+E24/E$28</f>
        <v>4.6391752577319588E-3</v>
      </c>
      <c r="G24" s="99">
        <f t="shared" ref="G24:G25" si="21">+C24/C$68</f>
        <v>0.02</v>
      </c>
      <c r="H24" s="106">
        <f t="shared" ref="H24:J25" si="22">+G24*H$68</f>
        <v>4200</v>
      </c>
      <c r="I24" s="99">
        <f>+H24/H$68</f>
        <v>0.02</v>
      </c>
      <c r="J24" s="106">
        <f t="shared" si="22"/>
        <v>4410</v>
      </c>
      <c r="K24" s="99">
        <f>+J24/J$68</f>
        <v>0.02</v>
      </c>
      <c r="L24" s="106">
        <f t="shared" ref="L24:L25" si="23">+K24*L$68</f>
        <v>4630.5</v>
      </c>
      <c r="M24" s="99">
        <f>+L24/L$68</f>
        <v>0.02</v>
      </c>
      <c r="N24" s="106">
        <f t="shared" ref="N24:N25" si="24">+M24*N$68</f>
        <v>4862.0250000000005</v>
      </c>
      <c r="O24" s="99">
        <f>+N24/N$68</f>
        <v>2.0000000000000004E-2</v>
      </c>
      <c r="P24" s="106">
        <f t="shared" ref="P24:P25" si="25">+O24*P$68</f>
        <v>5105.1262500000012</v>
      </c>
    </row>
    <row r="25" spans="1:16" x14ac:dyDescent="0.2">
      <c r="A25" s="19" t="s">
        <v>172</v>
      </c>
      <c r="B25" s="20" t="s">
        <v>55</v>
      </c>
      <c r="C25" s="21">
        <v>5000</v>
      </c>
      <c r="D25" s="22">
        <f>+C25/C$28</f>
        <v>4.5454545454545452E-3</v>
      </c>
      <c r="E25" s="21">
        <v>5500</v>
      </c>
      <c r="F25" s="23">
        <f>+E25/E$28</f>
        <v>5.670103092783505E-3</v>
      </c>
      <c r="G25" s="99">
        <f t="shared" si="21"/>
        <v>2.5000000000000001E-2</v>
      </c>
      <c r="H25" s="106">
        <f t="shared" si="22"/>
        <v>5250</v>
      </c>
      <c r="I25" s="99">
        <f>+H25/H$68</f>
        <v>2.5000000000000001E-2</v>
      </c>
      <c r="J25" s="106">
        <f t="shared" si="22"/>
        <v>5512.5</v>
      </c>
      <c r="K25" s="99">
        <f>+J25/J$68</f>
        <v>2.5000000000000001E-2</v>
      </c>
      <c r="L25" s="106">
        <f t="shared" si="23"/>
        <v>5788.125</v>
      </c>
      <c r="M25" s="99">
        <f>+L25/L$68</f>
        <v>2.5000000000000001E-2</v>
      </c>
      <c r="N25" s="106">
        <f t="shared" si="24"/>
        <v>6077.53125</v>
      </c>
      <c r="O25" s="99">
        <f>+N25/N$68</f>
        <v>2.5000000000000001E-2</v>
      </c>
      <c r="P25" s="106">
        <f t="shared" si="25"/>
        <v>6381.4078125000005</v>
      </c>
    </row>
    <row r="26" spans="1:16" x14ac:dyDescent="0.2">
      <c r="A26" s="19" t="s">
        <v>150</v>
      </c>
      <c r="B26" s="20" t="s">
        <v>151</v>
      </c>
      <c r="C26" s="21">
        <v>21000</v>
      </c>
      <c r="D26" s="22">
        <f>+C26/C$28</f>
        <v>1.9090909090909092E-2</v>
      </c>
      <c r="E26" s="21">
        <v>6000</v>
      </c>
      <c r="F26" s="23">
        <f>+E26/E$28</f>
        <v>6.1855670103092781E-3</v>
      </c>
      <c r="G26" s="119">
        <v>25000</v>
      </c>
      <c r="H26" s="119">
        <f>++G26</f>
        <v>25000</v>
      </c>
      <c r="I26" s="119">
        <v>25000</v>
      </c>
      <c r="J26" s="119">
        <f>++I26</f>
        <v>25000</v>
      </c>
      <c r="K26" s="119">
        <v>25000</v>
      </c>
      <c r="L26" s="119">
        <f>++K26</f>
        <v>25000</v>
      </c>
      <c r="M26" s="119">
        <v>25000</v>
      </c>
      <c r="N26" s="119">
        <f>++M26</f>
        <v>25000</v>
      </c>
      <c r="O26" s="119">
        <v>25000</v>
      </c>
      <c r="P26" s="119">
        <f>++O26</f>
        <v>25000</v>
      </c>
    </row>
    <row r="27" spans="1:16" x14ac:dyDescent="0.2">
      <c r="A27" s="19"/>
      <c r="B27" s="20"/>
      <c r="C27" s="21"/>
      <c r="D27" s="22"/>
      <c r="E27" s="21"/>
      <c r="F27" s="23"/>
      <c r="H27" s="106"/>
      <c r="J27" s="106"/>
      <c r="L27" s="106"/>
      <c r="N27" s="106"/>
      <c r="P27" s="106"/>
    </row>
    <row r="28" spans="1:16" ht="18.75" x14ac:dyDescent="0.3">
      <c r="A28" s="32" t="s">
        <v>23</v>
      </c>
      <c r="B28" s="33" t="s">
        <v>56</v>
      </c>
      <c r="C28" s="34">
        <f>+C12+C21+C24+C25+C26</f>
        <v>1100000</v>
      </c>
      <c r="D28" s="35">
        <f>+C28/C$28</f>
        <v>1</v>
      </c>
      <c r="E28" s="34">
        <f>+E12+E21+E24+E25+E26</f>
        <v>970000</v>
      </c>
      <c r="F28" s="36">
        <f>+E28/E$28</f>
        <v>1</v>
      </c>
      <c r="H28" s="137">
        <f>+H12+H21+H24+H25+H26</f>
        <v>1073300</v>
      </c>
      <c r="I28" s="143"/>
      <c r="J28" s="137">
        <f>+J12+J21+J24+J25+J26</f>
        <v>1158115</v>
      </c>
      <c r="K28" s="143"/>
      <c r="L28" s="137">
        <f>+L12+L21+L24+L25+L26</f>
        <v>1207070.75</v>
      </c>
      <c r="M28" s="143"/>
      <c r="N28" s="137">
        <f>+N12+N21+N24+N25+N26</f>
        <v>1145874.2874999999</v>
      </c>
      <c r="O28" s="143"/>
      <c r="P28" s="137">
        <f>+P12+P21+P24+P25+P26</f>
        <v>1160018.0018749998</v>
      </c>
    </row>
    <row r="29" spans="1:16" x14ac:dyDescent="0.2">
      <c r="A29" s="19"/>
      <c r="B29" s="20"/>
      <c r="C29" s="21"/>
      <c r="D29" s="22"/>
      <c r="E29" s="21"/>
      <c r="F29" s="23"/>
      <c r="H29" s="106"/>
      <c r="J29" s="106"/>
      <c r="L29" s="106"/>
      <c r="N29" s="106"/>
      <c r="P29" s="106"/>
    </row>
    <row r="30" spans="1:16" s="2" customFormat="1" ht="25.5" x14ac:dyDescent="0.2">
      <c r="A30" s="15" t="s">
        <v>4</v>
      </c>
      <c r="B30" s="16" t="s">
        <v>43</v>
      </c>
      <c r="C30" s="29"/>
      <c r="D30" s="22"/>
      <c r="E30" s="29"/>
      <c r="F30" s="23"/>
      <c r="H30" s="106"/>
      <c r="J30" s="106"/>
      <c r="L30" s="106"/>
      <c r="N30" s="106"/>
      <c r="P30" s="106"/>
    </row>
    <row r="31" spans="1:16" x14ac:dyDescent="0.2">
      <c r="A31" s="19"/>
      <c r="B31" s="20"/>
      <c r="C31" s="21"/>
      <c r="D31" s="22"/>
      <c r="E31" s="21"/>
      <c r="F31" s="23"/>
      <c r="H31" s="106"/>
      <c r="J31" s="106"/>
      <c r="L31" s="106"/>
      <c r="N31" s="106"/>
      <c r="P31" s="106"/>
    </row>
    <row r="32" spans="1:16" s="2" customFormat="1" x14ac:dyDescent="0.2">
      <c r="A32" s="15" t="s">
        <v>5</v>
      </c>
      <c r="B32" s="16" t="s">
        <v>16</v>
      </c>
      <c r="C32" s="29"/>
      <c r="D32" s="22"/>
      <c r="E32" s="29"/>
      <c r="F32" s="23"/>
      <c r="H32" s="106"/>
      <c r="J32" s="106"/>
      <c r="L32" s="106"/>
      <c r="N32" s="106"/>
      <c r="P32" s="106"/>
    </row>
    <row r="33" spans="1:16" ht="25.5" x14ac:dyDescent="0.2">
      <c r="A33" s="19" t="s">
        <v>173</v>
      </c>
      <c r="B33" s="20" t="s">
        <v>178</v>
      </c>
      <c r="C33" s="21">
        <v>25000</v>
      </c>
      <c r="D33" s="22">
        <f t="shared" ref="D33:D38" si="26">+C33/C$28</f>
        <v>2.2727272727272728E-2</v>
      </c>
      <c r="E33" s="21">
        <v>20000</v>
      </c>
      <c r="F33" s="23">
        <f t="shared" ref="F33:F38" si="27">+E33/E$28</f>
        <v>2.0618556701030927E-2</v>
      </c>
      <c r="G33" s="112">
        <f>+C33/C43</f>
        <v>8.3333333333333329E-2</v>
      </c>
      <c r="H33" s="98">
        <f ca="1">+G43*G33</f>
        <v>18026.399041544326</v>
      </c>
      <c r="I33" s="112">
        <f>+E33/E43</f>
        <v>7.0422535211267609E-2</v>
      </c>
      <c r="J33" s="98">
        <f ca="1">+I43*I33</f>
        <v>19869.416195251095</v>
      </c>
      <c r="K33" s="112">
        <f ca="1">+G33/G43</f>
        <v>3.8523747468587669E-7</v>
      </c>
      <c r="L33" s="98">
        <f ca="1">+K43*K33</f>
        <v>0.11931029976513606</v>
      </c>
      <c r="M33" s="112">
        <f ca="1">+I33/I43</f>
        <v>2.4959633523442606E-7</v>
      </c>
      <c r="N33" s="98">
        <f ca="1">+M43*M33</f>
        <v>5.5546195709498189E-2</v>
      </c>
      <c r="O33" s="112">
        <f ca="1">+K33/K43</f>
        <v>1.2438818123371952E-12</v>
      </c>
      <c r="P33" s="98">
        <f ca="1">+O43*O33</f>
        <v>2.6160342469453583E-7</v>
      </c>
    </row>
    <row r="34" spans="1:16" ht="25.5" x14ac:dyDescent="0.2">
      <c r="A34" s="19" t="s">
        <v>24</v>
      </c>
      <c r="B34" s="20" t="s">
        <v>57</v>
      </c>
      <c r="C34" s="21">
        <v>8000</v>
      </c>
      <c r="D34" s="22">
        <f t="shared" si="26"/>
        <v>7.2727272727272727E-3</v>
      </c>
      <c r="E34" s="21">
        <v>6000</v>
      </c>
      <c r="F34" s="23">
        <f t="shared" si="27"/>
        <v>6.1855670103092781E-3</v>
      </c>
      <c r="G34" s="99">
        <f t="shared" ref="G34:G38" si="28">+C34/C$68</f>
        <v>0.04</v>
      </c>
      <c r="H34" s="106">
        <f t="shared" ref="H34:J38" si="29">+G34*H$68</f>
        <v>8400</v>
      </c>
      <c r="I34" s="99">
        <f>+H34/H$68</f>
        <v>0.04</v>
      </c>
      <c r="J34" s="106">
        <f t="shared" si="29"/>
        <v>8820</v>
      </c>
      <c r="K34" s="99">
        <f>+J34/J$68</f>
        <v>0.04</v>
      </c>
      <c r="L34" s="106">
        <f t="shared" ref="L34:L38" si="30">+K34*L$68</f>
        <v>9261</v>
      </c>
      <c r="M34" s="99">
        <f>+L34/L$68</f>
        <v>0.04</v>
      </c>
      <c r="N34" s="106">
        <f t="shared" ref="N34:N38" si="31">+M34*N$68</f>
        <v>9724.0500000000011</v>
      </c>
      <c r="O34" s="99">
        <f>+N34/N$68</f>
        <v>4.0000000000000008E-2</v>
      </c>
      <c r="P34" s="106">
        <f t="shared" ref="P34:P38" si="32">+O34*P$68</f>
        <v>10210.252500000002</v>
      </c>
    </row>
    <row r="35" spans="1:16" x14ac:dyDescent="0.2">
      <c r="A35" s="19" t="s">
        <v>174</v>
      </c>
      <c r="B35" s="20" t="s">
        <v>58</v>
      </c>
      <c r="C35" s="21">
        <v>500</v>
      </c>
      <c r="D35" s="22">
        <f t="shared" si="26"/>
        <v>4.5454545454545455E-4</v>
      </c>
      <c r="E35" s="21">
        <v>300</v>
      </c>
      <c r="F35" s="23">
        <f t="shared" si="27"/>
        <v>3.0927835051546389E-4</v>
      </c>
      <c r="G35" s="99">
        <f t="shared" si="28"/>
        <v>2.5000000000000001E-3</v>
      </c>
      <c r="H35" s="106">
        <f t="shared" si="29"/>
        <v>525</v>
      </c>
      <c r="I35" s="99">
        <f t="shared" ref="I35:I38" si="33">+H35/H$68</f>
        <v>2.5000000000000001E-3</v>
      </c>
      <c r="J35" s="106">
        <f t="shared" si="29"/>
        <v>551.25</v>
      </c>
      <c r="K35" s="99">
        <f t="shared" ref="K35" si="34">+J35/J$68</f>
        <v>2.5000000000000001E-3</v>
      </c>
      <c r="L35" s="106">
        <f t="shared" si="30"/>
        <v>578.8125</v>
      </c>
      <c r="M35" s="99">
        <f t="shared" ref="M35" si="35">+L35/L$68</f>
        <v>2.5000000000000001E-3</v>
      </c>
      <c r="N35" s="106">
        <f t="shared" si="31"/>
        <v>607.75312500000007</v>
      </c>
      <c r="O35" s="99">
        <f t="shared" ref="O35:O38" si="36">+N35/N$68</f>
        <v>2.5000000000000005E-3</v>
      </c>
      <c r="P35" s="106">
        <f t="shared" si="32"/>
        <v>638.14078125000015</v>
      </c>
    </row>
    <row r="36" spans="1:16" x14ac:dyDescent="0.2">
      <c r="A36" s="19" t="s">
        <v>25</v>
      </c>
      <c r="B36" s="20" t="s">
        <v>37</v>
      </c>
      <c r="C36" s="21">
        <v>4500</v>
      </c>
      <c r="D36" s="22">
        <f t="shared" si="26"/>
        <v>4.0909090909090912E-3</v>
      </c>
      <c r="E36" s="21">
        <v>3200</v>
      </c>
      <c r="F36" s="23">
        <f t="shared" si="27"/>
        <v>3.2989690721649486E-3</v>
      </c>
      <c r="G36" s="99">
        <f t="shared" si="28"/>
        <v>2.2499999999999999E-2</v>
      </c>
      <c r="H36" s="106">
        <f t="shared" si="29"/>
        <v>4725</v>
      </c>
      <c r="I36" s="99">
        <f t="shared" si="33"/>
        <v>2.2499999999999999E-2</v>
      </c>
      <c r="J36" s="106">
        <f t="shared" si="29"/>
        <v>4961.25</v>
      </c>
      <c r="K36" s="99">
        <f t="shared" ref="K36" si="37">+J36/J$68</f>
        <v>2.2499999999999999E-2</v>
      </c>
      <c r="L36" s="106">
        <f t="shared" si="30"/>
        <v>5209.3125</v>
      </c>
      <c r="M36" s="99">
        <f t="shared" ref="M36" si="38">+L36/L$68</f>
        <v>2.2499999999999999E-2</v>
      </c>
      <c r="N36" s="106">
        <f t="shared" si="31"/>
        <v>5469.7781249999998</v>
      </c>
      <c r="O36" s="99">
        <f t="shared" si="36"/>
        <v>2.2499999999999999E-2</v>
      </c>
      <c r="P36" s="106">
        <f t="shared" si="32"/>
        <v>5743.2670312499995</v>
      </c>
    </row>
    <row r="37" spans="1:16" ht="25.5" x14ac:dyDescent="0.2">
      <c r="A37" s="19" t="s">
        <v>175</v>
      </c>
      <c r="B37" s="20" t="s">
        <v>59</v>
      </c>
      <c r="C37" s="21">
        <v>10000</v>
      </c>
      <c r="D37" s="22">
        <f t="shared" si="26"/>
        <v>9.0909090909090905E-3</v>
      </c>
      <c r="E37" s="21">
        <v>7000</v>
      </c>
      <c r="F37" s="23">
        <f t="shared" si="27"/>
        <v>7.2164948453608251E-3</v>
      </c>
      <c r="G37" s="99">
        <f t="shared" si="28"/>
        <v>0.05</v>
      </c>
      <c r="H37" s="106">
        <f t="shared" si="29"/>
        <v>10500</v>
      </c>
      <c r="I37" s="99">
        <f t="shared" si="33"/>
        <v>0.05</v>
      </c>
      <c r="J37" s="106">
        <f t="shared" si="29"/>
        <v>11025</v>
      </c>
      <c r="K37" s="99">
        <f t="shared" ref="K37" si="39">+J37/J$68</f>
        <v>0.05</v>
      </c>
      <c r="L37" s="106">
        <f t="shared" si="30"/>
        <v>11576.25</v>
      </c>
      <c r="M37" s="99">
        <f t="shared" ref="M37" si="40">+L37/L$68</f>
        <v>0.05</v>
      </c>
      <c r="N37" s="106">
        <f t="shared" si="31"/>
        <v>12155.0625</v>
      </c>
      <c r="O37" s="99">
        <f t="shared" si="36"/>
        <v>0.05</v>
      </c>
      <c r="P37" s="106">
        <f t="shared" si="32"/>
        <v>12762.815625000001</v>
      </c>
    </row>
    <row r="38" spans="1:16" ht="15" x14ac:dyDescent="0.35">
      <c r="A38" s="19" t="s">
        <v>26</v>
      </c>
      <c r="B38" s="20" t="s">
        <v>38</v>
      </c>
      <c r="C38" s="37">
        <v>200</v>
      </c>
      <c r="D38" s="25">
        <f t="shared" si="26"/>
        <v>1.8181818181818181E-4</v>
      </c>
      <c r="E38" s="37">
        <v>100</v>
      </c>
      <c r="F38" s="26">
        <f t="shared" si="27"/>
        <v>1.0309278350515464E-4</v>
      </c>
      <c r="G38" s="99">
        <f t="shared" si="28"/>
        <v>1E-3</v>
      </c>
      <c r="H38" s="111">
        <f t="shared" si="29"/>
        <v>210</v>
      </c>
      <c r="I38" s="99">
        <f t="shared" si="33"/>
        <v>1E-3</v>
      </c>
      <c r="J38" s="111">
        <f t="shared" si="29"/>
        <v>220.5</v>
      </c>
      <c r="K38" s="99">
        <f t="shared" ref="K38" si="41">+J38/J$68</f>
        <v>1E-3</v>
      </c>
      <c r="L38" s="111">
        <f t="shared" si="30"/>
        <v>231.52500000000001</v>
      </c>
      <c r="M38" s="99">
        <f t="shared" ref="M38" si="42">+L38/L$68</f>
        <v>1E-3</v>
      </c>
      <c r="N38" s="111">
        <f t="shared" si="31"/>
        <v>243.10124999999999</v>
      </c>
      <c r="O38" s="99">
        <f t="shared" si="36"/>
        <v>1E-3</v>
      </c>
      <c r="P38" s="111">
        <f t="shared" si="32"/>
        <v>255.25631250000001</v>
      </c>
    </row>
    <row r="39" spans="1:16" x14ac:dyDescent="0.2">
      <c r="A39" s="19"/>
      <c r="B39" s="20"/>
      <c r="C39" s="17"/>
      <c r="D39" s="22"/>
      <c r="E39" s="17"/>
      <c r="F39" s="23"/>
      <c r="H39" s="106"/>
      <c r="J39" s="106"/>
      <c r="L39" s="106"/>
      <c r="N39" s="106"/>
      <c r="P39" s="106"/>
    </row>
    <row r="40" spans="1:16" s="2" customFormat="1" ht="26.25" x14ac:dyDescent="0.25">
      <c r="A40" s="27" t="s">
        <v>27</v>
      </c>
      <c r="B40" s="28" t="s">
        <v>39</v>
      </c>
      <c r="C40" s="29">
        <f>SUM(C33:C39)</f>
        <v>48200</v>
      </c>
      <c r="D40" s="30">
        <f>+C40/C$28</f>
        <v>4.3818181818181819E-2</v>
      </c>
      <c r="E40" s="29">
        <f>SUM(E33:E39)</f>
        <v>36600</v>
      </c>
      <c r="F40" s="31">
        <f>+E40/E$28</f>
        <v>3.7731958762886597E-2</v>
      </c>
      <c r="H40" s="140">
        <f ca="1">SUM(H33:H39)</f>
        <v>42386.399041544326</v>
      </c>
      <c r="I40" s="3"/>
      <c r="J40" s="140">
        <f ca="1">SUM(J33:J39)</f>
        <v>45447.416195251091</v>
      </c>
      <c r="K40" s="3"/>
      <c r="L40" s="140">
        <f ca="1">SUM(L33:L39)</f>
        <v>26857.019310299765</v>
      </c>
      <c r="M40" s="3"/>
      <c r="N40" s="140">
        <f ca="1">SUM(N33:N39)</f>
        <v>28199.800546195711</v>
      </c>
      <c r="O40" s="3"/>
      <c r="P40" s="140">
        <f ca="1">SUM(P33:P39)</f>
        <v>29609.732250261608</v>
      </c>
    </row>
    <row r="41" spans="1:16" s="2" customFormat="1" x14ac:dyDescent="0.2">
      <c r="A41" s="15"/>
      <c r="B41" s="16"/>
      <c r="C41" s="29"/>
      <c r="D41" s="22"/>
      <c r="E41" s="29"/>
      <c r="F41" s="23"/>
      <c r="H41" s="106"/>
      <c r="J41" s="106"/>
      <c r="L41" s="106"/>
      <c r="N41" s="106"/>
      <c r="P41" s="106"/>
    </row>
    <row r="42" spans="1:16" s="2" customFormat="1" ht="25.5" x14ac:dyDescent="0.2">
      <c r="A42" s="15" t="s">
        <v>64</v>
      </c>
      <c r="B42" s="16" t="s">
        <v>65</v>
      </c>
      <c r="C42" s="29"/>
      <c r="D42" s="22"/>
      <c r="E42" s="29"/>
      <c r="F42" s="23"/>
      <c r="H42" s="106"/>
      <c r="J42" s="106"/>
      <c r="L42" s="106"/>
      <c r="N42" s="106"/>
      <c r="P42" s="106"/>
    </row>
    <row r="43" spans="1:16" ht="39" x14ac:dyDescent="0.25">
      <c r="A43" s="19" t="s">
        <v>222</v>
      </c>
      <c r="B43" s="20" t="s">
        <v>221</v>
      </c>
      <c r="C43" s="21">
        <v>300000</v>
      </c>
      <c r="D43" s="22">
        <f>+C43/C$28</f>
        <v>0.27272727272727271</v>
      </c>
      <c r="E43" s="21">
        <v>284000</v>
      </c>
      <c r="F43" s="23">
        <f>+E43/E$28</f>
        <v>0.29278350515463919</v>
      </c>
      <c r="G43" s="139">
        <f ca="1">+H28-H34-H35-H36-H37-H38-H45-H46-H62</f>
        <v>216316.78849853191</v>
      </c>
      <c r="H43" s="139">
        <f ca="1">+G43-H33</f>
        <v>198290.38945698758</v>
      </c>
      <c r="I43" s="139">
        <f ca="1">+J28-J34-J35-J36-J37-J38-J45-J46-J62</f>
        <v>282145.70997256553</v>
      </c>
      <c r="J43" s="139">
        <f ca="1">+I43-J33</f>
        <v>262276.29377731442</v>
      </c>
      <c r="K43" s="139">
        <f ca="1">+L28-L34-L35-L36-L37-L38-L45-L46-L62</f>
        <v>309705.85055989656</v>
      </c>
      <c r="L43" s="139">
        <f ca="1">+K43-L33</f>
        <v>309705.73124959681</v>
      </c>
      <c r="M43" s="139">
        <f ca="1">+N28-N34-N35-N36-N37-N38-N45-N46-N62</f>
        <v>222544.11571118643</v>
      </c>
      <c r="N43" s="139">
        <f ca="1">+M43-N33</f>
        <v>222544.06016499072</v>
      </c>
      <c r="O43" s="139">
        <f ca="1">+P28-P34-P35-P36-P37-P38-P45-P46-P62</f>
        <v>210312.12298457464</v>
      </c>
      <c r="P43" s="139">
        <f ca="1">+O43-P33</f>
        <v>210312.12298431303</v>
      </c>
    </row>
    <row r="44" spans="1:16" ht="25.5" x14ac:dyDescent="0.2">
      <c r="A44" s="19" t="s">
        <v>176</v>
      </c>
      <c r="B44" s="20" t="s">
        <v>60</v>
      </c>
      <c r="C44" s="17"/>
      <c r="D44" s="22"/>
      <c r="E44" s="17"/>
      <c r="F44" s="23"/>
      <c r="G44" s="99">
        <f>+C44/C$68</f>
        <v>0</v>
      </c>
      <c r="H44" s="106">
        <f t="shared" ref="H44:J46" si="43">+G44*H$68</f>
        <v>0</v>
      </c>
      <c r="I44" s="99">
        <f t="shared" ref="I44:I46" si="44">+H44/H$68</f>
        <v>0</v>
      </c>
      <c r="J44" s="106">
        <f t="shared" si="43"/>
        <v>0</v>
      </c>
      <c r="K44" s="99">
        <f t="shared" ref="K44" si="45">+J44/J$68</f>
        <v>0</v>
      </c>
      <c r="L44" s="106">
        <f t="shared" ref="L44:L46" si="46">+K44*L$68</f>
        <v>0</v>
      </c>
      <c r="M44" s="99">
        <f t="shared" ref="M44" si="47">+L44/L$68</f>
        <v>0</v>
      </c>
      <c r="N44" s="106">
        <f t="shared" ref="N44:N46" si="48">+M44*N$68</f>
        <v>0</v>
      </c>
      <c r="O44" s="99">
        <f t="shared" ref="O44:O46" si="49">+N44/N$68</f>
        <v>0</v>
      </c>
      <c r="P44" s="106">
        <f t="shared" ref="P44:P46" si="50">+O44*P$68</f>
        <v>0</v>
      </c>
    </row>
    <row r="45" spans="1:16" x14ac:dyDescent="0.2">
      <c r="A45" s="19" t="s">
        <v>28</v>
      </c>
      <c r="B45" s="20" t="s">
        <v>40</v>
      </c>
      <c r="C45" s="21">
        <v>800</v>
      </c>
      <c r="D45" s="22">
        <f>+C45/C$28</f>
        <v>7.2727272727272723E-4</v>
      </c>
      <c r="E45" s="21">
        <v>500</v>
      </c>
      <c r="F45" s="23">
        <f>+E45/E$28</f>
        <v>5.1546391752577321E-4</v>
      </c>
      <c r="G45" s="99">
        <f>+C45/C$68</f>
        <v>4.0000000000000001E-3</v>
      </c>
      <c r="H45" s="106">
        <f t="shared" si="43"/>
        <v>840</v>
      </c>
      <c r="I45" s="99">
        <f t="shared" si="44"/>
        <v>4.0000000000000001E-3</v>
      </c>
      <c r="J45" s="106">
        <f t="shared" si="43"/>
        <v>882</v>
      </c>
      <c r="K45" s="99">
        <f t="shared" ref="K45" si="51">+J45/J$68</f>
        <v>4.0000000000000001E-3</v>
      </c>
      <c r="L45" s="106">
        <f t="shared" si="46"/>
        <v>926.1</v>
      </c>
      <c r="M45" s="99">
        <f t="shared" ref="M45" si="52">+L45/L$68</f>
        <v>4.0000000000000001E-3</v>
      </c>
      <c r="N45" s="106">
        <f t="shared" si="48"/>
        <v>972.40499999999997</v>
      </c>
      <c r="O45" s="99">
        <f t="shared" si="49"/>
        <v>4.0000000000000001E-3</v>
      </c>
      <c r="P45" s="106">
        <f t="shared" si="50"/>
        <v>1021.02525</v>
      </c>
    </row>
    <row r="46" spans="1:16" x14ac:dyDescent="0.2">
      <c r="A46" s="19" t="s">
        <v>177</v>
      </c>
      <c r="B46" s="20" t="s">
        <v>61</v>
      </c>
      <c r="C46" s="17">
        <v>1200</v>
      </c>
      <c r="D46" s="22">
        <f>+C46/C$28</f>
        <v>1.090909090909091E-3</v>
      </c>
      <c r="E46" s="17">
        <v>1000</v>
      </c>
      <c r="F46" s="23">
        <f>+E46/E$28</f>
        <v>1.0309278350515464E-3</v>
      </c>
      <c r="G46" s="99">
        <f>+C46/C$68</f>
        <v>6.0000000000000001E-3</v>
      </c>
      <c r="H46" s="106">
        <f t="shared" si="43"/>
        <v>1260</v>
      </c>
      <c r="I46" s="99">
        <f t="shared" si="44"/>
        <v>6.0000000000000001E-3</v>
      </c>
      <c r="J46" s="106">
        <f t="shared" si="43"/>
        <v>1323</v>
      </c>
      <c r="K46" s="99">
        <f t="shared" ref="K46" si="53">+J46/J$68</f>
        <v>6.0000000000000001E-3</v>
      </c>
      <c r="L46" s="106">
        <f t="shared" si="46"/>
        <v>1389.15</v>
      </c>
      <c r="M46" s="99">
        <f t="shared" ref="M46" si="54">+L46/L$68</f>
        <v>6.0000000000000001E-3</v>
      </c>
      <c r="N46" s="106">
        <f t="shared" si="48"/>
        <v>1458.6075000000001</v>
      </c>
      <c r="O46" s="99">
        <f t="shared" si="49"/>
        <v>6.0000000000000001E-3</v>
      </c>
      <c r="P46" s="106">
        <f t="shared" si="50"/>
        <v>1531.537875</v>
      </c>
    </row>
    <row r="47" spans="1:16" ht="25.5" x14ac:dyDescent="0.2">
      <c r="A47" s="19" t="s">
        <v>29</v>
      </c>
      <c r="B47" s="20" t="s">
        <v>62</v>
      </c>
      <c r="C47" s="17"/>
      <c r="D47" s="22"/>
      <c r="E47" s="17"/>
      <c r="F47" s="23"/>
      <c r="H47" s="106"/>
      <c r="J47" s="106"/>
      <c r="L47" s="106"/>
      <c r="N47" s="106"/>
      <c r="P47" s="106"/>
    </row>
    <row r="48" spans="1:16" x14ac:dyDescent="0.2">
      <c r="A48" s="19"/>
      <c r="B48" s="20"/>
      <c r="C48" s="17"/>
      <c r="D48" s="22"/>
      <c r="E48" s="17"/>
      <c r="F48" s="23"/>
      <c r="H48" s="106"/>
      <c r="J48" s="106"/>
      <c r="L48" s="106"/>
      <c r="N48" s="106"/>
      <c r="P48" s="106"/>
    </row>
    <row r="49" spans="1:16" s="2" customFormat="1" ht="26.25" x14ac:dyDescent="0.25">
      <c r="A49" s="27" t="s">
        <v>66</v>
      </c>
      <c r="B49" s="28" t="s">
        <v>67</v>
      </c>
      <c r="C49" s="29">
        <f>SUM(C42:C48)</f>
        <v>302000</v>
      </c>
      <c r="D49" s="30">
        <f>+C49/C$28</f>
        <v>0.27454545454545454</v>
      </c>
      <c r="E49" s="29">
        <f>SUM(E42:E48)</f>
        <v>285500</v>
      </c>
      <c r="F49" s="31">
        <f>+E49/E$28</f>
        <v>0.2943298969072165</v>
      </c>
      <c r="H49" s="141">
        <f ca="1">SUM(H42:H48)</f>
        <v>200390.38945698758</v>
      </c>
      <c r="I49" s="142"/>
      <c r="J49" s="141">
        <f ca="1">SUM(J42:J48)</f>
        <v>264481.29377731442</v>
      </c>
      <c r="K49" s="142"/>
      <c r="L49" s="141">
        <f ca="1">SUM(L42:L48)</f>
        <v>312020.98124959681</v>
      </c>
      <c r="M49" s="142"/>
      <c r="N49" s="141">
        <f ca="1">SUM(N42:N48)</f>
        <v>224975.07266499073</v>
      </c>
      <c r="O49" s="142"/>
      <c r="P49" s="141">
        <f ca="1">SUM(P42:P48)</f>
        <v>212864.68610931304</v>
      </c>
    </row>
    <row r="50" spans="1:16" s="2" customFormat="1" x14ac:dyDescent="0.2">
      <c r="A50" s="15"/>
      <c r="B50" s="16"/>
      <c r="C50" s="29"/>
      <c r="D50" s="22"/>
      <c r="E50" s="29"/>
      <c r="F50" s="23"/>
      <c r="H50" s="106"/>
      <c r="J50" s="106"/>
      <c r="L50" s="106"/>
      <c r="N50" s="106"/>
      <c r="P50" s="106"/>
    </row>
    <row r="51" spans="1:16" s="4" customFormat="1" x14ac:dyDescent="0.2">
      <c r="A51" s="38" t="s">
        <v>6</v>
      </c>
      <c r="B51" s="39" t="s">
        <v>63</v>
      </c>
      <c r="C51" s="40"/>
      <c r="D51" s="22"/>
      <c r="E51" s="40"/>
      <c r="F51" s="23"/>
      <c r="H51" s="106"/>
      <c r="J51" s="106"/>
      <c r="L51" s="106"/>
      <c r="N51" s="106"/>
      <c r="P51" s="106"/>
    </row>
    <row r="52" spans="1:16" x14ac:dyDescent="0.2">
      <c r="A52" s="19"/>
      <c r="B52" s="20"/>
      <c r="C52" s="17"/>
      <c r="D52" s="22"/>
      <c r="E52" s="17"/>
      <c r="F52" s="23"/>
      <c r="H52" s="106"/>
      <c r="J52" s="106"/>
      <c r="L52" s="106"/>
      <c r="N52" s="106"/>
      <c r="P52" s="106"/>
    </row>
    <row r="53" spans="1:16" ht="25.5" x14ac:dyDescent="0.2">
      <c r="A53" s="19" t="s">
        <v>152</v>
      </c>
      <c r="B53" s="20" t="s">
        <v>153</v>
      </c>
      <c r="C53" s="41">
        <v>1000</v>
      </c>
      <c r="D53" s="22">
        <f>+C53/C$28</f>
        <v>9.0909090909090909E-4</v>
      </c>
      <c r="E53" s="41">
        <v>950</v>
      </c>
      <c r="F53" s="23">
        <f>+E53/E$28</f>
        <v>9.7938144329896902E-4</v>
      </c>
      <c r="G53" s="113">
        <v>100</v>
      </c>
      <c r="H53" s="114">
        <f>+C53+G53</f>
        <v>1100</v>
      </c>
      <c r="I53" s="113">
        <v>0</v>
      </c>
      <c r="J53" s="114">
        <f>+H53+I53</f>
        <v>1100</v>
      </c>
      <c r="K53" s="113">
        <v>0</v>
      </c>
      <c r="L53" s="114">
        <f>+J53+K53</f>
        <v>1100</v>
      </c>
      <c r="M53" s="113">
        <v>0</v>
      </c>
      <c r="N53" s="114">
        <f>+L53+M53</f>
        <v>1100</v>
      </c>
      <c r="O53" s="113">
        <v>0</v>
      </c>
      <c r="P53" s="114">
        <f>+N53+O53</f>
        <v>1100</v>
      </c>
    </row>
    <row r="54" spans="1:16" x14ac:dyDescent="0.2">
      <c r="A54" s="19" t="s">
        <v>30</v>
      </c>
      <c r="B54" s="20" t="s">
        <v>200</v>
      </c>
      <c r="C54" s="21">
        <v>600000</v>
      </c>
      <c r="D54" s="22">
        <f>+C54/C$28</f>
        <v>0.54545454545454541</v>
      </c>
      <c r="E54" s="21">
        <v>550000</v>
      </c>
      <c r="F54" s="23">
        <f>+E54/E$28</f>
        <v>0.5670103092783505</v>
      </c>
      <c r="G54" s="113">
        <v>60000</v>
      </c>
      <c r="H54" s="114">
        <f>+C54+G54</f>
        <v>660000</v>
      </c>
      <c r="I54" s="113">
        <v>0</v>
      </c>
      <c r="J54" s="114">
        <f>+H54+I54</f>
        <v>660000</v>
      </c>
      <c r="K54" s="113">
        <v>0</v>
      </c>
      <c r="L54" s="114">
        <f>+J54+K54</f>
        <v>660000</v>
      </c>
      <c r="M54" s="113">
        <v>0</v>
      </c>
      <c r="N54" s="114">
        <f>+L54+M54</f>
        <v>660000</v>
      </c>
      <c r="O54" s="113">
        <v>0</v>
      </c>
      <c r="P54" s="114">
        <f>+N54+O54</f>
        <v>660000</v>
      </c>
    </row>
    <row r="55" spans="1:16" x14ac:dyDescent="0.2">
      <c r="A55" s="19" t="s">
        <v>202</v>
      </c>
      <c r="B55" s="20" t="s">
        <v>154</v>
      </c>
      <c r="C55" s="17">
        <v>-1200</v>
      </c>
      <c r="D55" s="22">
        <f>+C55/C$28</f>
        <v>-1.090909090909091E-3</v>
      </c>
      <c r="E55" s="17">
        <v>-1050</v>
      </c>
      <c r="F55" s="23">
        <f>+E55/E$28</f>
        <v>-1.0824742268041238E-3</v>
      </c>
      <c r="G55" s="113">
        <v>0</v>
      </c>
      <c r="H55" s="114">
        <f>+G55+C55</f>
        <v>-1200</v>
      </c>
      <c r="I55" s="113">
        <v>0</v>
      </c>
      <c r="J55" s="114">
        <f>+I55+H55</f>
        <v>-1200</v>
      </c>
      <c r="K55" s="113">
        <v>0</v>
      </c>
      <c r="L55" s="114">
        <f>+K55+J55</f>
        <v>-1200</v>
      </c>
      <c r="M55" s="113">
        <v>0</v>
      </c>
      <c r="N55" s="114">
        <f>+M55+L55</f>
        <v>-1200</v>
      </c>
      <c r="O55" s="113">
        <v>0</v>
      </c>
      <c r="P55" s="114">
        <f>+O55+N55</f>
        <v>-1200</v>
      </c>
    </row>
    <row r="56" spans="1:16" ht="15" x14ac:dyDescent="0.35">
      <c r="A56" s="19" t="s">
        <v>12</v>
      </c>
      <c r="B56" s="20" t="s">
        <v>41</v>
      </c>
      <c r="C56" s="10">
        <v>150000</v>
      </c>
      <c r="D56" s="25">
        <f>+C56/C$28</f>
        <v>0.13636363636363635</v>
      </c>
      <c r="E56" s="10">
        <v>98000</v>
      </c>
      <c r="F56" s="26">
        <f>+E56/E$28</f>
        <v>0.10103092783505155</v>
      </c>
      <c r="G56" s="117"/>
      <c r="H56" s="118">
        <f ca="1">+C56-C99+H92</f>
        <v>170623.21150146806</v>
      </c>
      <c r="I56" s="117"/>
      <c r="J56" s="118">
        <f ca="1">+H56-H99+J92</f>
        <v>188286.29002743447</v>
      </c>
      <c r="K56" s="117"/>
      <c r="L56" s="118">
        <f ca="1">+J56-J99+L92</f>
        <v>208292.74944010357</v>
      </c>
      <c r="M56" s="117"/>
      <c r="N56" s="118">
        <f ca="1">+L56-L99+N92</f>
        <v>232799.41428881336</v>
      </c>
      <c r="O56" s="117"/>
      <c r="P56" s="118">
        <f ca="1">+N56-N99+P92</f>
        <v>257643.58351542521</v>
      </c>
    </row>
    <row r="57" spans="1:16" x14ac:dyDescent="0.2">
      <c r="A57" s="19"/>
      <c r="B57" s="20"/>
      <c r="C57" s="17"/>
      <c r="D57" s="22"/>
      <c r="E57" s="17"/>
      <c r="F57" s="23"/>
      <c r="H57" s="107"/>
      <c r="J57" s="107"/>
      <c r="L57" s="107"/>
      <c r="N57" s="107"/>
      <c r="P57" s="107"/>
    </row>
    <row r="58" spans="1:16" s="2" customFormat="1" ht="26.25" x14ac:dyDescent="0.25">
      <c r="A58" s="27" t="s">
        <v>225</v>
      </c>
      <c r="B58" s="28" t="s">
        <v>69</v>
      </c>
      <c r="C58" s="29">
        <f>SUM(C53:C57)</f>
        <v>749800</v>
      </c>
      <c r="D58" s="30">
        <f>+C58/C$28</f>
        <v>0.6816363636363636</v>
      </c>
      <c r="E58" s="29">
        <f>SUM(E53:E57)</f>
        <v>647900</v>
      </c>
      <c r="F58" s="31">
        <f>+E58/E$28</f>
        <v>0.66793814432989695</v>
      </c>
      <c r="H58" s="110">
        <f ca="1">SUM(H53:H57)</f>
        <v>830523.21150146809</v>
      </c>
      <c r="I58" s="3"/>
      <c r="J58" s="110">
        <f ca="1">SUM(J53:J57)</f>
        <v>848186.29002743447</v>
      </c>
      <c r="K58" s="3"/>
      <c r="L58" s="110">
        <f ca="1">SUM(L53:L57)</f>
        <v>868192.74944010354</v>
      </c>
      <c r="M58" s="3"/>
      <c r="N58" s="110">
        <f ca="1">SUM(N53:N57)</f>
        <v>892699.41428881336</v>
      </c>
      <c r="O58" s="3"/>
      <c r="P58" s="110">
        <f ca="1">SUM(P53:P57)</f>
        <v>917543.58351542521</v>
      </c>
    </row>
    <row r="59" spans="1:16" x14ac:dyDescent="0.2">
      <c r="A59" s="19"/>
      <c r="B59" s="20"/>
      <c r="C59" s="17"/>
      <c r="D59" s="22"/>
      <c r="E59" s="17"/>
      <c r="F59" s="23"/>
      <c r="H59" s="106"/>
      <c r="J59" s="106"/>
      <c r="L59" s="106"/>
      <c r="N59" s="106"/>
      <c r="P59" s="106"/>
    </row>
    <row r="60" spans="1:16" x14ac:dyDescent="0.2">
      <c r="A60" s="19" t="s">
        <v>203</v>
      </c>
      <c r="B60" s="20" t="s">
        <v>68</v>
      </c>
      <c r="C60" s="37">
        <v>0</v>
      </c>
      <c r="D60" s="25">
        <f>+C60/C$28</f>
        <v>0</v>
      </c>
      <c r="E60" s="37">
        <v>0</v>
      </c>
      <c r="F60" s="26">
        <f>+E60/E$28</f>
        <v>0</v>
      </c>
      <c r="G60" s="115">
        <v>0</v>
      </c>
      <c r="H60" s="114">
        <f>+C60+G60</f>
        <v>0</v>
      </c>
      <c r="I60" s="115">
        <v>0</v>
      </c>
      <c r="J60" s="114">
        <f>+E60+I60</f>
        <v>0</v>
      </c>
      <c r="K60" s="115">
        <v>0</v>
      </c>
      <c r="L60" s="114">
        <f>+G60+K60</f>
        <v>0</v>
      </c>
      <c r="M60" s="115">
        <v>0</v>
      </c>
      <c r="N60" s="114">
        <f>+I60+M60</f>
        <v>0</v>
      </c>
      <c r="O60" s="115">
        <v>0</v>
      </c>
      <c r="P60" s="114">
        <f>+K60+O60</f>
        <v>0</v>
      </c>
    </row>
    <row r="61" spans="1:16" x14ac:dyDescent="0.2">
      <c r="A61" s="19"/>
      <c r="B61" s="20"/>
      <c r="C61" s="17"/>
      <c r="D61" s="22"/>
      <c r="E61" s="17"/>
      <c r="F61" s="23"/>
      <c r="H61" s="106"/>
      <c r="J61" s="106"/>
      <c r="L61" s="106"/>
      <c r="N61" s="106"/>
      <c r="P61" s="106"/>
    </row>
    <row r="62" spans="1:16" s="2" customFormat="1" x14ac:dyDescent="0.2">
      <c r="A62" s="27" t="s">
        <v>31</v>
      </c>
      <c r="B62" s="28" t="s">
        <v>42</v>
      </c>
      <c r="C62" s="42">
        <f>+C60+C58</f>
        <v>749800</v>
      </c>
      <c r="D62" s="25">
        <f>+C62/C$28</f>
        <v>0.6816363636363636</v>
      </c>
      <c r="E62" s="42">
        <f>+E60+E58</f>
        <v>647900</v>
      </c>
      <c r="F62" s="26">
        <f>+E62/E$28</f>
        <v>0.66793814432989695</v>
      </c>
      <c r="H62" s="108">
        <f ca="1">+H60+H58</f>
        <v>830523.21150146809</v>
      </c>
      <c r="J62" s="108">
        <f ca="1">+J60+J58</f>
        <v>848186.29002743447</v>
      </c>
      <c r="L62" s="108">
        <f ca="1">+L60+L58</f>
        <v>868192.74944010354</v>
      </c>
      <c r="N62" s="108">
        <f ca="1">+N60+N58</f>
        <v>892699.41428881336</v>
      </c>
      <c r="P62" s="108">
        <f ca="1">+P60+P58</f>
        <v>917543.58351542521</v>
      </c>
    </row>
    <row r="63" spans="1:16" x14ac:dyDescent="0.2">
      <c r="A63" s="19"/>
      <c r="B63" s="20"/>
      <c r="C63" s="17"/>
      <c r="D63" s="22"/>
      <c r="E63" s="17"/>
      <c r="F63" s="23"/>
      <c r="H63" s="106"/>
      <c r="J63" s="106"/>
      <c r="L63" s="106"/>
      <c r="N63" s="106"/>
      <c r="P63" s="106"/>
    </row>
    <row r="64" spans="1:16" s="3" customFormat="1" ht="33" thickBot="1" x14ac:dyDescent="0.35">
      <c r="A64" s="43" t="s">
        <v>32</v>
      </c>
      <c r="B64" s="44" t="s">
        <v>70</v>
      </c>
      <c r="C64" s="45">
        <f>+C62+C46+C45+C44+C43+C40</f>
        <v>1100000</v>
      </c>
      <c r="D64" s="46">
        <f>+C64/C$28</f>
        <v>1</v>
      </c>
      <c r="E64" s="45">
        <f>+E62+E46+E45+E44+E43+E40</f>
        <v>970000</v>
      </c>
      <c r="F64" s="47">
        <f>+E64/E$28</f>
        <v>1</v>
      </c>
      <c r="H64" s="137">
        <f ca="1">+H62+H46+H45+H44+H43+H40</f>
        <v>1073300</v>
      </c>
      <c r="I64" s="138"/>
      <c r="J64" s="137">
        <f ca="1">+J62+J46+J45+J44+J43+J40</f>
        <v>1158115</v>
      </c>
      <c r="K64" s="138"/>
      <c r="L64" s="137">
        <f ca="1">+L62+L46+L45+L44+L43+L40</f>
        <v>1207070.75</v>
      </c>
      <c r="M64" s="138"/>
      <c r="N64" s="137">
        <f ca="1">+N62+N46+N45+N44+N43+N40</f>
        <v>1145874.2875000001</v>
      </c>
      <c r="O64" s="138"/>
      <c r="P64" s="137">
        <f ca="1">+P62+P46+P45+P44+P43+P40</f>
        <v>1160018.0018749998</v>
      </c>
    </row>
    <row r="65" spans="1:16" ht="13.5" thickBot="1" x14ac:dyDescent="0.25"/>
    <row r="66" spans="1:16" ht="15.75" x14ac:dyDescent="0.25">
      <c r="A66" s="147" t="s">
        <v>182</v>
      </c>
      <c r="B66" s="148"/>
      <c r="C66" s="73">
        <v>2012</v>
      </c>
      <c r="D66" s="74" t="s">
        <v>183</v>
      </c>
      <c r="E66" s="11"/>
      <c r="F66" s="11"/>
    </row>
    <row r="67" spans="1:16" ht="15.75" x14ac:dyDescent="0.25">
      <c r="A67" s="48" t="s">
        <v>7</v>
      </c>
      <c r="B67" s="49" t="s">
        <v>17</v>
      </c>
      <c r="C67" s="75"/>
      <c r="D67" s="76"/>
    </row>
    <row r="68" spans="1:16" ht="15.75" x14ac:dyDescent="0.25">
      <c r="A68" s="50" t="s">
        <v>73</v>
      </c>
      <c r="B68" s="51" t="s">
        <v>140</v>
      </c>
      <c r="C68" s="34">
        <v>200000</v>
      </c>
      <c r="D68" s="77">
        <f>+C68/C$68</f>
        <v>1</v>
      </c>
      <c r="G68" s="135">
        <v>0.05</v>
      </c>
      <c r="H68" s="136">
        <f>+C68*((1+G68))</f>
        <v>210000</v>
      </c>
      <c r="I68" s="135">
        <v>0.05</v>
      </c>
      <c r="J68" s="136">
        <f>+H68*((1+I68))</f>
        <v>220500</v>
      </c>
      <c r="K68" s="135">
        <v>0.05</v>
      </c>
      <c r="L68" s="136">
        <f>+J68*((1+K68))</f>
        <v>231525</v>
      </c>
      <c r="M68" s="135">
        <v>0.05</v>
      </c>
      <c r="N68" s="136">
        <f>+L68*((1+M68))</f>
        <v>243101.25</v>
      </c>
      <c r="O68" s="135">
        <v>0.05</v>
      </c>
      <c r="P68" s="136">
        <f>+N68*((1+O68))</f>
        <v>255256.3125</v>
      </c>
    </row>
    <row r="69" spans="1:16" ht="15.75" x14ac:dyDescent="0.25">
      <c r="A69" s="50" t="s">
        <v>184</v>
      </c>
      <c r="B69" s="51" t="s">
        <v>80</v>
      </c>
      <c r="C69" s="78">
        <v>2000</v>
      </c>
      <c r="D69" s="79">
        <f>+C69/C$68</f>
        <v>0.01</v>
      </c>
      <c r="H69" s="106">
        <f>+D69*H$68</f>
        <v>2100</v>
      </c>
      <c r="I69" s="99">
        <f>+H69/H$68</f>
        <v>0.01</v>
      </c>
      <c r="J69" s="106">
        <f>+I69*J$68</f>
        <v>2205</v>
      </c>
      <c r="K69" s="99">
        <f>+J69/J$68</f>
        <v>0.01</v>
      </c>
      <c r="L69" s="106">
        <f>+K69*L$68</f>
        <v>2315.25</v>
      </c>
      <c r="M69" s="99">
        <f>+L69/L$68</f>
        <v>0.01</v>
      </c>
      <c r="N69" s="106">
        <f>+M69*N$68</f>
        <v>2431.0125000000003</v>
      </c>
      <c r="O69" s="99">
        <f>+N69/N$68</f>
        <v>1.0000000000000002E-2</v>
      </c>
      <c r="P69" s="106">
        <f>+O69*P$68</f>
        <v>2552.5631250000006</v>
      </c>
    </row>
    <row r="70" spans="1:16" ht="15.75" x14ac:dyDescent="0.25">
      <c r="A70" s="50"/>
      <c r="B70" s="51"/>
      <c r="C70" s="78"/>
      <c r="D70" s="79"/>
      <c r="H70" s="107"/>
      <c r="J70" s="107"/>
      <c r="L70" s="107"/>
      <c r="N70" s="107"/>
      <c r="P70" s="107"/>
    </row>
    <row r="71" spans="1:16" ht="15.75" x14ac:dyDescent="0.25">
      <c r="A71" s="48" t="s">
        <v>8</v>
      </c>
      <c r="B71" s="49" t="s">
        <v>18</v>
      </c>
      <c r="C71" s="34"/>
      <c r="D71" s="79"/>
      <c r="H71" s="107"/>
      <c r="J71" s="107"/>
      <c r="L71" s="107"/>
      <c r="N71" s="107"/>
      <c r="P71" s="107"/>
    </row>
    <row r="72" spans="1:16" ht="15.75" x14ac:dyDescent="0.25">
      <c r="A72" s="50" t="s">
        <v>185</v>
      </c>
      <c r="B72" s="51" t="s">
        <v>81</v>
      </c>
      <c r="C72" s="78">
        <v>12000</v>
      </c>
      <c r="D72" s="79">
        <f>+C72/C$68</f>
        <v>0.06</v>
      </c>
      <c r="H72" s="106">
        <f>+D72*H$68</f>
        <v>12600</v>
      </c>
      <c r="I72" s="99">
        <f>+H72/H$68</f>
        <v>0.06</v>
      </c>
      <c r="J72" s="106">
        <f>+I72*J$68</f>
        <v>13230</v>
      </c>
      <c r="K72" s="99">
        <f>+J72/J$68</f>
        <v>0.06</v>
      </c>
      <c r="L72" s="106">
        <f>+K72*L$68</f>
        <v>13891.5</v>
      </c>
      <c r="M72" s="99">
        <f>+L72/L$68</f>
        <v>0.06</v>
      </c>
      <c r="N72" s="106">
        <f>+M72*N$68</f>
        <v>14586.074999999999</v>
      </c>
      <c r="O72" s="99">
        <f>+N72/N$68</f>
        <v>0.06</v>
      </c>
      <c r="P72" s="106">
        <f>+O72*P$68</f>
        <v>15315.37875</v>
      </c>
    </row>
    <row r="73" spans="1:16" ht="15.75" x14ac:dyDescent="0.25">
      <c r="A73" s="50" t="s">
        <v>186</v>
      </c>
      <c r="B73" s="51" t="s">
        <v>82</v>
      </c>
      <c r="C73" s="78">
        <v>60000</v>
      </c>
      <c r="D73" s="79">
        <f>+C73/C$68</f>
        <v>0.3</v>
      </c>
      <c r="H73" s="106">
        <f>+D73*H$68</f>
        <v>63000</v>
      </c>
      <c r="I73" s="99">
        <f>+H73/H$68</f>
        <v>0.3</v>
      </c>
      <c r="J73" s="106">
        <f>+I73*J$68</f>
        <v>66150</v>
      </c>
      <c r="K73" s="99">
        <f>+J73/J$68</f>
        <v>0.3</v>
      </c>
      <c r="L73" s="106">
        <f>+K73*L$68</f>
        <v>69457.5</v>
      </c>
      <c r="M73" s="99">
        <f>+L73/L$68</f>
        <v>0.3</v>
      </c>
      <c r="N73" s="106">
        <f>+M73*N$68</f>
        <v>72930.375</v>
      </c>
      <c r="O73" s="99">
        <f>+N73/N$68</f>
        <v>0.3</v>
      </c>
      <c r="P73" s="106">
        <f>+O73*P$68</f>
        <v>76576.893750000003</v>
      </c>
    </row>
    <row r="74" spans="1:16" ht="31.5" x14ac:dyDescent="0.25">
      <c r="A74" s="50" t="s">
        <v>92</v>
      </c>
      <c r="B74" s="51" t="s">
        <v>141</v>
      </c>
      <c r="C74" s="78">
        <v>50000</v>
      </c>
      <c r="D74" s="79">
        <f>+C74/C$68</f>
        <v>0.25</v>
      </c>
      <c r="G74" s="98">
        <f>+C17-H17+8%*C19</f>
        <v>51600</v>
      </c>
      <c r="H74" s="98">
        <f>+G74</f>
        <v>51600</v>
      </c>
      <c r="I74" s="98">
        <f>+H17-J17+8%*H19</f>
        <v>53280</v>
      </c>
      <c r="J74" s="98">
        <f>+I74</f>
        <v>53280</v>
      </c>
      <c r="K74" s="98">
        <f>+J17-L17+8%*J19</f>
        <v>55044</v>
      </c>
      <c r="L74" s="98">
        <f>+K74</f>
        <v>55044</v>
      </c>
      <c r="M74" s="98">
        <f>+L17-N17+8%*L19</f>
        <v>56896.2</v>
      </c>
      <c r="N74" s="98">
        <f>+M74</f>
        <v>56896.2</v>
      </c>
      <c r="O74" s="98">
        <f>+N17-P17+8%*N19</f>
        <v>58841.010000000009</v>
      </c>
      <c r="P74" s="98">
        <f>+O74</f>
        <v>58841.010000000009</v>
      </c>
    </row>
    <row r="75" spans="1:16" ht="15.75" x14ac:dyDescent="0.25">
      <c r="A75" s="50" t="s">
        <v>74</v>
      </c>
      <c r="B75" s="51" t="s">
        <v>142</v>
      </c>
      <c r="C75" s="78">
        <v>25000</v>
      </c>
      <c r="D75" s="79">
        <f>+C75/C$68</f>
        <v>0.125</v>
      </c>
      <c r="H75" s="106">
        <f t="shared" ref="H75:H76" si="55">+D75*H$68</f>
        <v>26250</v>
      </c>
      <c r="I75" s="99">
        <f>+H75/H$68</f>
        <v>0.125</v>
      </c>
      <c r="J75" s="106">
        <f>+I75*J$68</f>
        <v>27562.5</v>
      </c>
      <c r="K75" s="99">
        <f>+J75/J$68</f>
        <v>0.125</v>
      </c>
      <c r="L75" s="106">
        <f>+K75*L$68</f>
        <v>28940.625</v>
      </c>
      <c r="M75" s="99">
        <f>+L75/L$68</f>
        <v>0.125</v>
      </c>
      <c r="N75" s="106">
        <f>+M75*N$68</f>
        <v>30387.65625</v>
      </c>
      <c r="O75" s="99">
        <f>+N75/N$68</f>
        <v>0.125</v>
      </c>
      <c r="P75" s="106">
        <f>+O75*P$68</f>
        <v>31907.0390625</v>
      </c>
    </row>
    <row r="76" spans="1:16" ht="15.75" x14ac:dyDescent="0.25">
      <c r="A76" s="50" t="s">
        <v>155</v>
      </c>
      <c r="B76" s="51" t="s">
        <v>156</v>
      </c>
      <c r="C76" s="80">
        <v>-1000</v>
      </c>
      <c r="D76" s="79">
        <f>+C76/C$68</f>
        <v>-5.0000000000000001E-3</v>
      </c>
      <c r="H76" s="106">
        <f t="shared" si="55"/>
        <v>-1050</v>
      </c>
      <c r="I76" s="99">
        <f>+H76/H$68</f>
        <v>-5.0000000000000001E-3</v>
      </c>
      <c r="J76" s="106">
        <f>+I76*J$68</f>
        <v>-1102.5</v>
      </c>
      <c r="K76" s="99">
        <f>+J76/J$68</f>
        <v>-5.0000000000000001E-3</v>
      </c>
      <c r="L76" s="106">
        <f>+K76*L$68</f>
        <v>-1157.625</v>
      </c>
      <c r="M76" s="99">
        <f>+L76/L$68</f>
        <v>-5.0000000000000001E-3</v>
      </c>
      <c r="N76" s="106">
        <f>+M76*N$68</f>
        <v>-1215.5062500000001</v>
      </c>
      <c r="O76" s="99">
        <f>+N76/N$68</f>
        <v>-5.000000000000001E-3</v>
      </c>
      <c r="P76" s="106">
        <f>+O76*P$68</f>
        <v>-1276.2815625000003</v>
      </c>
    </row>
    <row r="77" spans="1:16" ht="15.75" x14ac:dyDescent="0.25">
      <c r="A77" s="48"/>
      <c r="B77" s="51"/>
      <c r="C77" s="78"/>
      <c r="D77" s="79"/>
      <c r="H77" s="107"/>
      <c r="J77" s="107"/>
      <c r="L77" s="107"/>
      <c r="N77" s="107"/>
      <c r="P77" s="107"/>
    </row>
    <row r="78" spans="1:16" ht="15.75" x14ac:dyDescent="0.25">
      <c r="A78" s="48" t="s">
        <v>75</v>
      </c>
      <c r="B78" s="49" t="s">
        <v>79</v>
      </c>
      <c r="C78" s="34">
        <f>C68+C69-C72-C73-C74-C75-C76</f>
        <v>56000</v>
      </c>
      <c r="D78" s="77">
        <f>+C78/C$68</f>
        <v>0.28000000000000003</v>
      </c>
      <c r="H78" s="108">
        <f>H68+H69-H72-H73-H74-H75-H76</f>
        <v>59700</v>
      </c>
      <c r="J78" s="108">
        <f>J68+J69-J72-J73-J74-J75-J76</f>
        <v>63585</v>
      </c>
      <c r="L78" s="108">
        <f>L68+L69-L72-L73-L74-L75-L76</f>
        <v>67664.25</v>
      </c>
      <c r="N78" s="108">
        <f>N68+N69-N72-N73-N74-N75-N76</f>
        <v>71947.462500000009</v>
      </c>
      <c r="P78" s="108">
        <f>P68+P69-P72-P73-P74-P75-P76</f>
        <v>76444.835624999949</v>
      </c>
    </row>
    <row r="79" spans="1:16" ht="15.75" x14ac:dyDescent="0.25">
      <c r="A79" s="50"/>
      <c r="B79" s="51"/>
      <c r="C79" s="78"/>
      <c r="D79" s="79"/>
      <c r="H79" s="107"/>
      <c r="J79" s="107"/>
      <c r="L79" s="107"/>
      <c r="N79" s="107"/>
      <c r="P79" s="107"/>
    </row>
    <row r="80" spans="1:16" ht="31.5" x14ac:dyDescent="0.25">
      <c r="A80" s="48" t="s">
        <v>9</v>
      </c>
      <c r="B80" s="49" t="s">
        <v>19</v>
      </c>
      <c r="C80" s="34"/>
      <c r="D80" s="79"/>
      <c r="H80" s="107"/>
      <c r="J80" s="107"/>
      <c r="L80" s="107"/>
      <c r="N80" s="107"/>
      <c r="P80" s="107"/>
    </row>
    <row r="81" spans="1:16" ht="15.75" x14ac:dyDescent="0.25">
      <c r="A81" s="50" t="s">
        <v>187</v>
      </c>
      <c r="B81" s="51" t="s">
        <v>84</v>
      </c>
      <c r="C81" s="78">
        <v>-12500</v>
      </c>
      <c r="D81" s="79">
        <f>+C81/C$68</f>
        <v>-6.25E-2</v>
      </c>
      <c r="G81" s="116">
        <f>+C81/(C33+C43)</f>
        <v>-3.8461538461538464E-2</v>
      </c>
      <c r="H81" s="98">
        <f ca="1">G81*(C43+C33+G43)/2</f>
        <v>-10409.938240356383</v>
      </c>
      <c r="I81" s="116">
        <f ca="1">+H81/(H33+H43)</f>
        <v>-4.8123579832209988E-2</v>
      </c>
      <c r="J81" s="98">
        <f ca="1">I81*(E43+E33+I43)/2</f>
        <v>-14103.714933586079</v>
      </c>
      <c r="K81" s="116">
        <f ca="1">+J81/(J33+J43)</f>
        <v>-4.9987344960720673E-2</v>
      </c>
      <c r="L81" s="98">
        <f ca="1">K81*(G43+G33+K43)/2</f>
        <v>-13147.239640687203</v>
      </c>
      <c r="M81" s="116">
        <f ca="1">+L81/(L33+L43)</f>
        <v>-4.2450730643025264E-2</v>
      </c>
      <c r="N81" s="98">
        <f ca="1">M81*(I43+I33+M43)/2</f>
        <v>-10712.227418932202</v>
      </c>
      <c r="O81" s="116">
        <f ca="1">+N81/(N33+N43)</f>
        <v>-4.8135298409032433E-2</v>
      </c>
      <c r="P81" s="98">
        <f ca="1">O81*(K43+K33+O43)/2</f>
        <v>-12515.610167320998</v>
      </c>
    </row>
    <row r="82" spans="1:16" ht="15.75" x14ac:dyDescent="0.25">
      <c r="A82" s="50" t="s">
        <v>76</v>
      </c>
      <c r="B82" s="51" t="s">
        <v>83</v>
      </c>
      <c r="C82" s="78">
        <v>1200</v>
      </c>
      <c r="D82" s="79">
        <f>+C82/C$68</f>
        <v>6.0000000000000001E-3</v>
      </c>
      <c r="G82" s="116">
        <f>+C82/C5</f>
        <v>1.4457831325301205E-2</v>
      </c>
      <c r="H82" s="98">
        <f>G82*(C5+H5)/2</f>
        <v>744.57831325301208</v>
      </c>
      <c r="I82" s="116">
        <f>+H82/H5</f>
        <v>3.7228915662650602E-2</v>
      </c>
      <c r="J82" s="98">
        <f>I82*(E5+J5)/2</f>
        <v>2382.6506024096384</v>
      </c>
      <c r="K82" s="116">
        <f>+J82/J5</f>
        <v>4.7653012048192771E-2</v>
      </c>
      <c r="L82" s="98">
        <f>K82*(G5+L5)/2</f>
        <v>1906.1204819277109</v>
      </c>
      <c r="M82" s="116">
        <f>+L82/L5</f>
        <v>3.1768674698795178E-2</v>
      </c>
      <c r="N82" s="98">
        <f>M82*(I5+N5)/2</f>
        <v>1906.1204819277107</v>
      </c>
      <c r="O82" s="116">
        <f>+N82/N5</f>
        <v>2.7230292598967296E-2</v>
      </c>
      <c r="P82" s="98">
        <f>O82*(K5+P5)/2</f>
        <v>1769.9690189328742</v>
      </c>
    </row>
    <row r="83" spans="1:16" ht="31.5" x14ac:dyDescent="0.25">
      <c r="A83" s="50" t="s">
        <v>188</v>
      </c>
      <c r="B83" s="51" t="s">
        <v>85</v>
      </c>
      <c r="C83" s="78">
        <v>-800</v>
      </c>
      <c r="D83" s="79">
        <f>+C83/C$68</f>
        <v>-4.0000000000000001E-3</v>
      </c>
      <c r="H83" s="106">
        <f t="shared" ref="H83:H90" si="56">+D83*H$68</f>
        <v>-840</v>
      </c>
      <c r="I83" s="99">
        <f>+H83/H$68</f>
        <v>-4.0000000000000001E-3</v>
      </c>
      <c r="J83" s="106">
        <f>+I83*J$68</f>
        <v>-882</v>
      </c>
      <c r="K83" s="99">
        <f>+J83/J$68</f>
        <v>-4.0000000000000001E-3</v>
      </c>
      <c r="L83" s="106">
        <f>+K83*L$68</f>
        <v>-926.1</v>
      </c>
      <c r="M83" s="99">
        <f>+L83/L$68</f>
        <v>-4.0000000000000001E-3</v>
      </c>
      <c r="N83" s="106">
        <f>+M83*N$68</f>
        <v>-972.40499999999997</v>
      </c>
      <c r="O83" s="99">
        <f>+N83/N$68</f>
        <v>-4.0000000000000001E-3</v>
      </c>
      <c r="P83" s="106">
        <f>+O83*P$68</f>
        <v>-1021.02525</v>
      </c>
    </row>
    <row r="84" spans="1:16" ht="15.75" x14ac:dyDescent="0.25">
      <c r="A84" s="50" t="s">
        <v>189</v>
      </c>
      <c r="B84" s="51" t="s">
        <v>157</v>
      </c>
      <c r="C84" s="80">
        <v>1200</v>
      </c>
      <c r="D84" s="79">
        <f>+C84/C$68</f>
        <v>6.0000000000000001E-3</v>
      </c>
      <c r="G84" s="116">
        <f>+C84/C26</f>
        <v>5.7142857142857141E-2</v>
      </c>
      <c r="H84" s="98">
        <f>+H26*G84</f>
        <v>1428.5714285714284</v>
      </c>
      <c r="I84" s="116">
        <f>+H84/H26</f>
        <v>5.7142857142857141E-2</v>
      </c>
      <c r="J84" s="98">
        <f>+J26*I84</f>
        <v>1428.5714285714284</v>
      </c>
      <c r="K84" s="116">
        <f>+J84/J26</f>
        <v>5.7142857142857141E-2</v>
      </c>
      <c r="L84" s="98">
        <f>+L26*K84</f>
        <v>1428.5714285714284</v>
      </c>
      <c r="M84" s="116">
        <f>+L84/L26</f>
        <v>5.7142857142857141E-2</v>
      </c>
      <c r="N84" s="98">
        <f>+N26*M84</f>
        <v>1428.5714285714284</v>
      </c>
      <c r="O84" s="116">
        <f>+N84/N26</f>
        <v>5.7142857142857141E-2</v>
      </c>
      <c r="P84" s="98">
        <f>+P26*O84</f>
        <v>1428.5714285714284</v>
      </c>
    </row>
    <row r="85" spans="1:16" ht="15.75" x14ac:dyDescent="0.25">
      <c r="A85" s="50"/>
      <c r="B85" s="51"/>
      <c r="C85" s="78"/>
      <c r="D85" s="79"/>
      <c r="H85" s="106"/>
      <c r="J85" s="106"/>
      <c r="L85" s="106"/>
      <c r="N85" s="106"/>
      <c r="P85" s="106"/>
    </row>
    <row r="86" spans="1:16" ht="31.5" x14ac:dyDescent="0.25">
      <c r="A86" s="48" t="s">
        <v>77</v>
      </c>
      <c r="B86" s="49" t="s">
        <v>86</v>
      </c>
      <c r="C86" s="81">
        <f>SUM(C81:C84)</f>
        <v>-10900</v>
      </c>
      <c r="D86" s="77">
        <f>+C86/C$68</f>
        <v>-5.45E-2</v>
      </c>
      <c r="H86" s="108">
        <f ca="1">SUM(H81:H84)</f>
        <v>-9076.7884985319433</v>
      </c>
      <c r="J86" s="108">
        <f ca="1">SUM(J81:J84)</f>
        <v>-11174.492902605012</v>
      </c>
      <c r="L86" s="108">
        <f ca="1">SUM(L81:L84)</f>
        <v>-10738.647730188062</v>
      </c>
      <c r="N86" s="108">
        <f ca="1">SUM(N81:N84)</f>
        <v>-8349.9405084330647</v>
      </c>
      <c r="P86" s="108">
        <f ca="1">SUM(P81:P84)</f>
        <v>-10338.094969816695</v>
      </c>
    </row>
    <row r="87" spans="1:16" ht="15.75" x14ac:dyDescent="0.25">
      <c r="A87" s="50"/>
      <c r="B87" s="51"/>
      <c r="C87" s="78"/>
      <c r="D87" s="79"/>
      <c r="H87" s="106"/>
      <c r="J87" s="106"/>
      <c r="L87" s="106"/>
      <c r="N87" s="106"/>
      <c r="P87" s="106"/>
    </row>
    <row r="88" spans="1:16" ht="15.75" x14ac:dyDescent="0.25">
      <c r="A88" s="48" t="s">
        <v>78</v>
      </c>
      <c r="B88" s="49" t="s">
        <v>88</v>
      </c>
      <c r="C88" s="34">
        <f>C86+C78</f>
        <v>45100</v>
      </c>
      <c r="D88" s="77">
        <f>+C88/C$68</f>
        <v>0.22550000000000001</v>
      </c>
      <c r="H88" s="106">
        <f ca="1">H86+H78</f>
        <v>50623.21150146806</v>
      </c>
      <c r="J88" s="106">
        <f ca="1">J86+J78</f>
        <v>52410.507097394991</v>
      </c>
      <c r="L88" s="106">
        <f ca="1">L86+L78</f>
        <v>56925.602269811934</v>
      </c>
      <c r="N88" s="106">
        <f ca="1">N86+N78</f>
        <v>63597.521991566944</v>
      </c>
      <c r="P88" s="106">
        <f ca="1">P86+P78</f>
        <v>66106.740655183254</v>
      </c>
    </row>
    <row r="89" spans="1:16" ht="15.75" x14ac:dyDescent="0.25">
      <c r="A89" s="50"/>
      <c r="B89" s="51"/>
      <c r="C89" s="78"/>
      <c r="D89" s="79"/>
      <c r="H89" s="106"/>
      <c r="J89" s="106"/>
      <c r="L89" s="106"/>
      <c r="N89" s="106"/>
      <c r="P89" s="106"/>
    </row>
    <row r="90" spans="1:16" ht="31.5" x14ac:dyDescent="0.25">
      <c r="A90" s="50" t="s">
        <v>158</v>
      </c>
      <c r="B90" s="51" t="s">
        <v>180</v>
      </c>
      <c r="C90" s="80">
        <v>0</v>
      </c>
      <c r="D90" s="79">
        <f>+C90/C$68</f>
        <v>0</v>
      </c>
      <c r="H90" s="106">
        <f t="shared" si="56"/>
        <v>0</v>
      </c>
      <c r="I90" s="99">
        <f>+H90/H$68</f>
        <v>0</v>
      </c>
      <c r="J90" s="106">
        <f>+I90*J$68</f>
        <v>0</v>
      </c>
      <c r="K90" s="99">
        <f>+J90/J$68</f>
        <v>0</v>
      </c>
      <c r="L90" s="106">
        <f>+K90*L$68</f>
        <v>0</v>
      </c>
      <c r="M90" s="99">
        <f>+L90/L$68</f>
        <v>0</v>
      </c>
      <c r="N90" s="106">
        <f>+M90*N$68</f>
        <v>0</v>
      </c>
      <c r="O90" s="99">
        <f>+N90/N$68</f>
        <v>0</v>
      </c>
      <c r="P90" s="106">
        <f>+O90*P$68</f>
        <v>0</v>
      </c>
    </row>
    <row r="91" spans="1:16" ht="15.75" x14ac:dyDescent="0.25">
      <c r="A91" s="50"/>
      <c r="B91" s="51"/>
      <c r="C91" s="78"/>
      <c r="D91" s="79"/>
      <c r="H91" s="106"/>
      <c r="J91" s="106"/>
      <c r="L91" s="106"/>
      <c r="N91" s="106"/>
      <c r="P91" s="106"/>
    </row>
    <row r="92" spans="1:16" ht="32.25" x14ac:dyDescent="0.3">
      <c r="A92" s="48" t="s">
        <v>197</v>
      </c>
      <c r="B92" s="49" t="s">
        <v>181</v>
      </c>
      <c r="C92" s="121">
        <f>+C88+C90</f>
        <v>45100</v>
      </c>
      <c r="D92" s="77">
        <f>+C92/C$68</f>
        <v>0.22550000000000001</v>
      </c>
      <c r="H92" s="120">
        <f ca="1">+H88+H90</f>
        <v>50623.21150146806</v>
      </c>
      <c r="J92" s="120">
        <f ca="1">+J88+J90</f>
        <v>52410.507097394991</v>
      </c>
      <c r="L92" s="120">
        <f ca="1">+L88+L90</f>
        <v>56925.602269811934</v>
      </c>
      <c r="N92" s="120">
        <f ca="1">+N88+N90</f>
        <v>63597.521991566944</v>
      </c>
      <c r="P92" s="120">
        <f ca="1">+P88+P90</f>
        <v>66106.740655183254</v>
      </c>
    </row>
    <row r="93" spans="1:16" ht="15.75" x14ac:dyDescent="0.25">
      <c r="A93" s="50"/>
      <c r="B93" s="51"/>
      <c r="C93" s="78"/>
      <c r="D93" s="79"/>
      <c r="H93" s="106"/>
      <c r="J93" s="106"/>
      <c r="L93" s="106"/>
      <c r="N93" s="106"/>
      <c r="P93" s="106"/>
    </row>
    <row r="94" spans="1:16" ht="15.75" x14ac:dyDescent="0.25">
      <c r="A94" s="50" t="s">
        <v>205</v>
      </c>
      <c r="B94" s="51" t="s">
        <v>143</v>
      </c>
      <c r="C94" s="82">
        <v>0.3</v>
      </c>
      <c r="D94" s="79"/>
      <c r="G94" s="113">
        <v>0.32</v>
      </c>
      <c r="H94" s="113">
        <f>+G94</f>
        <v>0.32</v>
      </c>
      <c r="I94" s="113">
        <v>0.34</v>
      </c>
      <c r="J94" s="113">
        <f>+I94</f>
        <v>0.34</v>
      </c>
      <c r="K94" s="113">
        <v>0.36</v>
      </c>
      <c r="L94" s="113">
        <f>+K94</f>
        <v>0.36</v>
      </c>
      <c r="M94" s="113">
        <v>0.38</v>
      </c>
      <c r="N94" s="113">
        <f>+M94</f>
        <v>0.38</v>
      </c>
      <c r="O94" s="113">
        <v>0.38</v>
      </c>
      <c r="P94" s="113">
        <f>+O94</f>
        <v>0.38</v>
      </c>
    </row>
    <row r="95" spans="1:16" ht="31.5" x14ac:dyDescent="0.25">
      <c r="A95" s="50" t="s">
        <v>204</v>
      </c>
      <c r="B95" s="51" t="s">
        <v>144</v>
      </c>
      <c r="C95" s="82">
        <f>+C94</f>
        <v>0.3</v>
      </c>
      <c r="D95" s="79"/>
      <c r="G95" s="113">
        <v>0.32</v>
      </c>
      <c r="H95" s="113">
        <f>+G95</f>
        <v>0.32</v>
      </c>
      <c r="I95" s="113">
        <f>+I94</f>
        <v>0.34</v>
      </c>
      <c r="J95" s="113">
        <f>+I95</f>
        <v>0.34</v>
      </c>
      <c r="K95" s="113">
        <f>+K94</f>
        <v>0.36</v>
      </c>
      <c r="L95" s="113">
        <f>+K95</f>
        <v>0.36</v>
      </c>
      <c r="M95" s="113">
        <f>+M94</f>
        <v>0.38</v>
      </c>
      <c r="N95" s="113">
        <f>+M95</f>
        <v>0.38</v>
      </c>
      <c r="O95" s="113">
        <f>+O94</f>
        <v>0.38</v>
      </c>
      <c r="P95" s="113">
        <f>+O95</f>
        <v>0.38</v>
      </c>
    </row>
    <row r="96" spans="1:16" ht="15.75" x14ac:dyDescent="0.25">
      <c r="A96" s="50" t="s">
        <v>224</v>
      </c>
      <c r="B96" s="51" t="s">
        <v>223</v>
      </c>
      <c r="C96" s="82">
        <f>(C53+C54)*1000/C98</f>
        <v>6.0039960039960043</v>
      </c>
      <c r="D96" s="79"/>
      <c r="G96" s="119">
        <v>7</v>
      </c>
      <c r="H96" s="119">
        <f>(G53+G54)*1000/G96</f>
        <v>8585714.2857142854</v>
      </c>
      <c r="I96" s="119">
        <v>1</v>
      </c>
      <c r="J96" s="119">
        <f>(I53+I54)*1000/I96</f>
        <v>0</v>
      </c>
      <c r="K96" s="119">
        <v>1</v>
      </c>
      <c r="L96" s="119">
        <f>(K53+K54)*1000/K96</f>
        <v>0</v>
      </c>
      <c r="M96" s="119">
        <v>1</v>
      </c>
      <c r="N96" s="119">
        <f>(M53+M54)*1000/M96</f>
        <v>0</v>
      </c>
      <c r="O96" s="119">
        <v>1</v>
      </c>
      <c r="P96" s="119">
        <f>(O53+O54)*1000/O96</f>
        <v>0</v>
      </c>
    </row>
    <row r="97" spans="1:16" ht="47.25" x14ac:dyDescent="0.25">
      <c r="A97" s="50" t="s">
        <v>198</v>
      </c>
      <c r="B97" s="51" t="s">
        <v>89</v>
      </c>
      <c r="C97" s="78">
        <v>100000000</v>
      </c>
      <c r="D97" s="79"/>
      <c r="H97" s="106">
        <f>+C97+H96</f>
        <v>108585714.28571428</v>
      </c>
      <c r="J97" s="106">
        <f>+H97+J96</f>
        <v>108585714.28571428</v>
      </c>
      <c r="L97" s="106">
        <f>+J97+L96</f>
        <v>108585714.28571428</v>
      </c>
      <c r="N97" s="106">
        <f>+L97+N96</f>
        <v>108585714.28571428</v>
      </c>
      <c r="P97" s="106">
        <f>+N97+P96</f>
        <v>108585714.28571428</v>
      </c>
    </row>
    <row r="98" spans="1:16" ht="48" thickBot="1" x14ac:dyDescent="0.3">
      <c r="A98" s="52" t="s">
        <v>199</v>
      </c>
      <c r="B98" s="53" t="s">
        <v>87</v>
      </c>
      <c r="C98" s="83">
        <v>100100000</v>
      </c>
      <c r="D98" s="84"/>
      <c r="H98" s="106">
        <f>+H97</f>
        <v>108585714.28571428</v>
      </c>
      <c r="J98" s="106">
        <f>+H98</f>
        <v>108585714.28571428</v>
      </c>
      <c r="L98" s="106">
        <f>+J98</f>
        <v>108585714.28571428</v>
      </c>
      <c r="N98" s="106">
        <f>+L98</f>
        <v>108585714.28571428</v>
      </c>
      <c r="P98" s="106">
        <f>+N98</f>
        <v>108585714.28571428</v>
      </c>
    </row>
    <row r="99" spans="1:16" x14ac:dyDescent="0.2">
      <c r="A99" s="100" t="s">
        <v>211</v>
      </c>
      <c r="B99" s="100" t="s">
        <v>208</v>
      </c>
      <c r="C99" s="101">
        <f>(C97*C95)/1000</f>
        <v>30000</v>
      </c>
      <c r="D99" s="100"/>
      <c r="E99" s="100"/>
      <c r="F99" s="100"/>
      <c r="G99" s="100"/>
      <c r="H99" s="101">
        <f>(H97*H95)/1000</f>
        <v>34747.428571428572</v>
      </c>
      <c r="I99" s="100"/>
      <c r="J99" s="101">
        <f>(J97*J95)/1000</f>
        <v>36919.142857142855</v>
      </c>
      <c r="K99" s="100"/>
      <c r="L99" s="101">
        <f>(L97*L95)/1000</f>
        <v>39090.857142857145</v>
      </c>
      <c r="M99" s="100"/>
      <c r="N99" s="101">
        <f>(N97*N95)/1000</f>
        <v>41262.571428571428</v>
      </c>
      <c r="O99" s="100"/>
      <c r="P99" s="101">
        <f>(P97*P95)/1000</f>
        <v>41262.571428571428</v>
      </c>
    </row>
    <row r="100" spans="1:16" x14ac:dyDescent="0.2">
      <c r="A100" s="102" t="s">
        <v>209</v>
      </c>
      <c r="B100" s="103" t="s">
        <v>212</v>
      </c>
      <c r="C100" s="104">
        <f>+C92-C99</f>
        <v>15100</v>
      </c>
      <c r="D100" s="100"/>
      <c r="E100" s="100"/>
      <c r="F100" s="100"/>
      <c r="G100" s="100"/>
      <c r="H100" s="104">
        <f ca="1">+H92-H99</f>
        <v>15875.782930039488</v>
      </c>
      <c r="I100" s="100"/>
      <c r="J100" s="104">
        <f ca="1">+J92-J99</f>
        <v>15491.364240252136</v>
      </c>
      <c r="K100" s="100"/>
      <c r="L100" s="104">
        <f ca="1">+L92-L99</f>
        <v>17834.745126954789</v>
      </c>
      <c r="M100" s="100"/>
      <c r="N100" s="104">
        <f ca="1">+N92-N99</f>
        <v>22334.950562995517</v>
      </c>
      <c r="O100" s="100"/>
      <c r="P100" s="104">
        <f ca="1">+P92-P99</f>
        <v>24844.169226611826</v>
      </c>
    </row>
    <row r="101" spans="1:16" ht="13.5" thickBot="1" x14ac:dyDescent="0.25">
      <c r="A101" s="100" t="s">
        <v>213</v>
      </c>
      <c r="B101" s="100" t="s">
        <v>210</v>
      </c>
      <c r="C101" s="105">
        <f>+C100/C92</f>
        <v>0.33481152993348118</v>
      </c>
      <c r="D101" s="100"/>
      <c r="E101" s="100"/>
      <c r="F101" s="100"/>
      <c r="G101" s="100"/>
      <c r="H101" s="105">
        <f ca="1">+H100/H92</f>
        <v>0.31360679141383779</v>
      </c>
      <c r="I101" s="100"/>
      <c r="J101" s="105">
        <f ca="1">+J100/J92</f>
        <v>0.2955774538007116</v>
      </c>
      <c r="K101" s="100"/>
      <c r="L101" s="105">
        <f ca="1">+L100/L92</f>
        <v>0.31329919080035251</v>
      </c>
      <c r="M101" s="100"/>
      <c r="N101" s="105">
        <f ca="1">+N100/N92</f>
        <v>0.3511921512595591</v>
      </c>
      <c r="O101" s="100"/>
      <c r="P101" s="105">
        <f ca="1">+P100/P92</f>
        <v>0.37581900091248654</v>
      </c>
    </row>
    <row r="102" spans="1:16" ht="47.25" x14ac:dyDescent="0.25">
      <c r="A102" s="54" t="s">
        <v>93</v>
      </c>
      <c r="B102" s="55" t="s">
        <v>190</v>
      </c>
      <c r="C102" s="85"/>
      <c r="H102" s="122"/>
      <c r="J102" s="122"/>
      <c r="L102" s="122"/>
      <c r="N102" s="122"/>
      <c r="P102" s="122"/>
    </row>
    <row r="103" spans="1:16" ht="31.5" x14ac:dyDescent="0.25">
      <c r="A103" s="56" t="s">
        <v>94</v>
      </c>
      <c r="B103" s="12" t="s">
        <v>100</v>
      </c>
      <c r="C103" s="86">
        <v>2012</v>
      </c>
      <c r="H103" s="122"/>
      <c r="J103" s="122"/>
      <c r="L103" s="122"/>
      <c r="N103" s="122"/>
      <c r="P103" s="122"/>
    </row>
    <row r="104" spans="1:16" ht="31.5" x14ac:dyDescent="0.25">
      <c r="A104" s="57" t="s">
        <v>95</v>
      </c>
      <c r="B104" s="7" t="s">
        <v>101</v>
      </c>
      <c r="C104" s="87"/>
      <c r="H104" s="123"/>
      <c r="J104" s="123"/>
      <c r="L104" s="123"/>
      <c r="N104" s="123"/>
      <c r="P104" s="123"/>
    </row>
    <row r="105" spans="1:16" ht="15.75" x14ac:dyDescent="0.25">
      <c r="A105" s="58" t="s">
        <v>106</v>
      </c>
      <c r="B105" s="5" t="s">
        <v>145</v>
      </c>
      <c r="C105" s="88">
        <f>+'Projected FS'!C88</f>
        <v>45100</v>
      </c>
      <c r="H105" s="124">
        <f ca="1">+H92</f>
        <v>50623.21150146806</v>
      </c>
      <c r="J105" s="124">
        <f ca="1">+J92</f>
        <v>52410.507097394991</v>
      </c>
      <c r="L105" s="124">
        <f ca="1">+L92</f>
        <v>56925.602269811934</v>
      </c>
      <c r="N105" s="124">
        <f ca="1">+N92</f>
        <v>63597.521991566944</v>
      </c>
      <c r="P105" s="124">
        <f ca="1">+P92</f>
        <v>66106.740655183254</v>
      </c>
    </row>
    <row r="106" spans="1:16" ht="78.75" x14ac:dyDescent="0.25">
      <c r="A106" s="59" t="s">
        <v>107</v>
      </c>
      <c r="B106" s="6" t="s">
        <v>108</v>
      </c>
      <c r="C106" s="89"/>
      <c r="H106" s="123"/>
      <c r="J106" s="123"/>
      <c r="L106" s="123"/>
      <c r="N106" s="123"/>
      <c r="P106" s="123"/>
    </row>
    <row r="107" spans="1:16" ht="31.5" x14ac:dyDescent="0.25">
      <c r="A107" s="58" t="s">
        <v>92</v>
      </c>
      <c r="B107" s="5" t="s">
        <v>146</v>
      </c>
      <c r="C107" s="88">
        <f>+'Projected FS'!C74</f>
        <v>50000</v>
      </c>
      <c r="H107" s="124">
        <f>+H74</f>
        <v>51600</v>
      </c>
      <c r="J107" s="124">
        <f>+J74</f>
        <v>53280</v>
      </c>
      <c r="L107" s="124">
        <f>+L74</f>
        <v>55044</v>
      </c>
      <c r="N107" s="124">
        <f>+N74</f>
        <v>56896.2</v>
      </c>
      <c r="P107" s="124">
        <f>+P74</f>
        <v>58841.010000000009</v>
      </c>
    </row>
    <row r="108" spans="1:16" ht="31.5" x14ac:dyDescent="0.25">
      <c r="A108" s="58" t="s">
        <v>109</v>
      </c>
      <c r="B108" s="5" t="s">
        <v>124</v>
      </c>
      <c r="C108" s="88">
        <f>-'Projected FS'!C83</f>
        <v>800</v>
      </c>
      <c r="H108" s="124">
        <f>-H83</f>
        <v>840</v>
      </c>
      <c r="J108" s="124">
        <f>-J83</f>
        <v>882</v>
      </c>
      <c r="L108" s="124">
        <f>-L83</f>
        <v>926.1</v>
      </c>
      <c r="N108" s="124">
        <f>-N83</f>
        <v>972.40499999999997</v>
      </c>
      <c r="P108" s="124">
        <f>-P83</f>
        <v>1021.02525</v>
      </c>
    </row>
    <row r="109" spans="1:16" ht="47.25" x14ac:dyDescent="0.25">
      <c r="A109" s="58" t="s">
        <v>159</v>
      </c>
      <c r="B109" s="5" t="s">
        <v>160</v>
      </c>
      <c r="C109" s="88">
        <f>-'Projected FS'!C84</f>
        <v>-1200</v>
      </c>
      <c r="H109" s="124">
        <f>H84</f>
        <v>1428.5714285714284</v>
      </c>
      <c r="J109" s="124">
        <f>J84</f>
        <v>1428.5714285714284</v>
      </c>
      <c r="L109" s="124">
        <f>L84</f>
        <v>1428.5714285714284</v>
      </c>
      <c r="N109" s="124">
        <f>N84</f>
        <v>1428.5714285714284</v>
      </c>
      <c r="P109" s="124">
        <f>P84</f>
        <v>1428.5714285714284</v>
      </c>
    </row>
    <row r="110" spans="1:16" ht="31.5" x14ac:dyDescent="0.25">
      <c r="A110" s="58" t="s">
        <v>196</v>
      </c>
      <c r="B110" s="5" t="s">
        <v>195</v>
      </c>
      <c r="C110" s="88">
        <f>-'Projected FS'!C81-'Projected FS'!C82</f>
        <v>11300</v>
      </c>
      <c r="H110" s="124">
        <f ca="1">-H81-H82</f>
        <v>9665.3599271033709</v>
      </c>
      <c r="J110" s="124">
        <f ca="1">-J81-J82</f>
        <v>11721.064331176442</v>
      </c>
      <c r="L110" s="124">
        <f ca="1">-L81-L82</f>
        <v>11241.119158759491</v>
      </c>
      <c r="N110" s="124">
        <f ca="1">-N81-N82</f>
        <v>8806.1069370044916</v>
      </c>
      <c r="P110" s="124">
        <f ca="1">-P81-P82</f>
        <v>10745.641148388124</v>
      </c>
    </row>
    <row r="111" spans="1:16" ht="15.75" x14ac:dyDescent="0.25">
      <c r="A111" s="58"/>
      <c r="B111" s="5"/>
      <c r="C111" s="88"/>
      <c r="H111" s="123"/>
      <c r="J111" s="123"/>
      <c r="L111" s="123"/>
      <c r="N111" s="123"/>
      <c r="P111" s="123"/>
    </row>
    <row r="112" spans="1:16" ht="15.75" x14ac:dyDescent="0.25">
      <c r="A112" s="59" t="s">
        <v>96</v>
      </c>
      <c r="B112" s="6" t="s">
        <v>102</v>
      </c>
      <c r="C112" s="89"/>
      <c r="H112" s="123"/>
      <c r="J112" s="123"/>
      <c r="L112" s="123"/>
      <c r="N112" s="123"/>
      <c r="P112" s="123"/>
    </row>
    <row r="113" spans="1:16" ht="15.75" x14ac:dyDescent="0.25">
      <c r="A113" s="58" t="s">
        <v>110</v>
      </c>
      <c r="B113" s="5" t="s">
        <v>125</v>
      </c>
      <c r="C113" s="88">
        <f>+'Projected FS'!E6-'Projected FS'!C6</f>
        <v>-2000</v>
      </c>
      <c r="H113" s="124">
        <f>C6-H6</f>
        <v>-300</v>
      </c>
      <c r="J113" s="124">
        <f>H6-J6</f>
        <v>-315</v>
      </c>
      <c r="L113" s="124">
        <f>J6-L6</f>
        <v>-330.75</v>
      </c>
      <c r="N113" s="124">
        <f>L6-N6</f>
        <v>-347.28749999999945</v>
      </c>
      <c r="P113" s="124">
        <f>N6-P6</f>
        <v>-364.65187500000047</v>
      </c>
    </row>
    <row r="114" spans="1:16" ht="31.5" x14ac:dyDescent="0.25">
      <c r="A114" s="58" t="s">
        <v>90</v>
      </c>
      <c r="B114" s="5" t="s">
        <v>126</v>
      </c>
      <c r="C114" s="88">
        <f>+'Projected FS'!E7-'Projected FS'!C7</f>
        <v>-100</v>
      </c>
      <c r="H114" s="124">
        <f>C7-H7</f>
        <v>-15</v>
      </c>
      <c r="J114" s="124">
        <f>H7-J7</f>
        <v>-15.75</v>
      </c>
      <c r="L114" s="124">
        <f>J7-L7</f>
        <v>-16.537500000000023</v>
      </c>
      <c r="N114" s="124">
        <f>L7-N7</f>
        <v>-17.364374999999995</v>
      </c>
      <c r="P114" s="124">
        <f>N7-P7</f>
        <v>-18.232593749999978</v>
      </c>
    </row>
    <row r="115" spans="1:16" ht="15.75" x14ac:dyDescent="0.25">
      <c r="A115" s="58" t="s">
        <v>111</v>
      </c>
      <c r="B115" s="5" t="s">
        <v>127</v>
      </c>
      <c r="C115" s="88">
        <f>+'Projected FS'!E8-'Projected FS'!C8</f>
        <v>2000</v>
      </c>
      <c r="H115" s="124">
        <f>C8-H8</f>
        <v>-250</v>
      </c>
      <c r="J115" s="124">
        <f>H8-J8</f>
        <v>-262.5</v>
      </c>
      <c r="L115" s="124">
        <f>J8-L8</f>
        <v>-275.625</v>
      </c>
      <c r="N115" s="124">
        <f>L8-N8</f>
        <v>-289.40625</v>
      </c>
      <c r="P115" s="124">
        <f>N8-P8</f>
        <v>-303.87656250000055</v>
      </c>
    </row>
    <row r="116" spans="1:16" ht="31.5" x14ac:dyDescent="0.25">
      <c r="A116" s="58" t="s">
        <v>10</v>
      </c>
      <c r="B116" s="5" t="s">
        <v>128</v>
      </c>
      <c r="C116" s="88">
        <f>+'Projected FS'!E9-'Projected FS'!C9</f>
        <v>-500</v>
      </c>
      <c r="H116" s="124">
        <f>C9-H9</f>
        <v>-100</v>
      </c>
      <c r="J116" s="124">
        <f>H9-J9</f>
        <v>-105</v>
      </c>
      <c r="L116" s="124">
        <f>J9-L9</f>
        <v>-110.25</v>
      </c>
      <c r="N116" s="124">
        <f>L9-N9</f>
        <v>-115.76250000000027</v>
      </c>
      <c r="P116" s="124">
        <f>N9-P9</f>
        <v>-121.55062500000031</v>
      </c>
    </row>
    <row r="117" spans="1:16" ht="15.75" x14ac:dyDescent="0.25">
      <c r="A117" s="58" t="s">
        <v>91</v>
      </c>
      <c r="B117" s="5" t="s">
        <v>138</v>
      </c>
      <c r="C117" s="88">
        <f>+'Projected FS'!E10-'Projected FS'!C10</f>
        <v>-400</v>
      </c>
      <c r="H117" s="124">
        <f>C10-H10</f>
        <v>-185</v>
      </c>
      <c r="J117" s="124">
        <f>H10-J10</f>
        <v>-194.25</v>
      </c>
      <c r="L117" s="124">
        <f>J10-L10</f>
        <v>-203.96249999999964</v>
      </c>
      <c r="N117" s="124">
        <f>L10-N10</f>
        <v>-214.16062500000044</v>
      </c>
      <c r="P117" s="124">
        <f>N10-P10</f>
        <v>-224.86865624999973</v>
      </c>
    </row>
    <row r="118" spans="1:16" ht="15.75" x14ac:dyDescent="0.25">
      <c r="A118" s="58"/>
      <c r="B118" s="5"/>
      <c r="C118" s="90"/>
      <c r="H118" s="123"/>
      <c r="J118" s="123"/>
      <c r="L118" s="123"/>
      <c r="N118" s="123"/>
      <c r="P118" s="123"/>
    </row>
    <row r="119" spans="1:16" ht="15.75" x14ac:dyDescent="0.25">
      <c r="A119" s="59" t="s">
        <v>97</v>
      </c>
      <c r="B119" s="6" t="s">
        <v>103</v>
      </c>
      <c r="C119" s="89"/>
      <c r="H119" s="123"/>
      <c r="J119" s="123"/>
      <c r="L119" s="123"/>
      <c r="N119" s="123"/>
      <c r="P119" s="123"/>
    </row>
    <row r="120" spans="1:16" ht="15.75" x14ac:dyDescent="0.25">
      <c r="A120" s="58" t="s">
        <v>112</v>
      </c>
      <c r="B120" s="5" t="s">
        <v>129</v>
      </c>
      <c r="C120" s="88">
        <f>+'Projected FS'!C34-'Projected FS'!E34</f>
        <v>2000</v>
      </c>
      <c r="H120" s="124">
        <f>-C34+H34</f>
        <v>400</v>
      </c>
      <c r="J120" s="124">
        <f>-H34+J34</f>
        <v>420</v>
      </c>
      <c r="L120" s="124">
        <f>-J34+L34</f>
        <v>441</v>
      </c>
      <c r="N120" s="124">
        <f>-L34+N34</f>
        <v>463.05000000000109</v>
      </c>
      <c r="P120" s="124">
        <f>-N34+P34</f>
        <v>486.20250000000124</v>
      </c>
    </row>
    <row r="121" spans="1:16" ht="15.75" x14ac:dyDescent="0.25">
      <c r="A121" s="58" t="s">
        <v>113</v>
      </c>
      <c r="B121" s="5" t="s">
        <v>58</v>
      </c>
      <c r="C121" s="88">
        <f>+'Projected FS'!C35-'Projected FS'!E35</f>
        <v>200</v>
      </c>
      <c r="H121" s="124">
        <f>-C35+H35</f>
        <v>25</v>
      </c>
      <c r="J121" s="124">
        <f>-H35+J35</f>
        <v>26.25</v>
      </c>
      <c r="L121" s="124">
        <f>-J35+L35</f>
        <v>27.5625</v>
      </c>
      <c r="N121" s="124">
        <f>-L35+N35</f>
        <v>28.940625000000068</v>
      </c>
      <c r="P121" s="124">
        <f>-N35+P35</f>
        <v>30.387656250000077</v>
      </c>
    </row>
    <row r="122" spans="1:16" ht="15.75" x14ac:dyDescent="0.25">
      <c r="A122" s="58" t="s">
        <v>25</v>
      </c>
      <c r="B122" s="5" t="s">
        <v>37</v>
      </c>
      <c r="C122" s="88">
        <f>+'Projected FS'!C36-'Projected FS'!E36</f>
        <v>1300</v>
      </c>
      <c r="H122" s="124">
        <f>-C36+H36</f>
        <v>225</v>
      </c>
      <c r="J122" s="124">
        <f>-H36+J36</f>
        <v>236.25</v>
      </c>
      <c r="L122" s="124">
        <f>-J36+L36</f>
        <v>248.0625</v>
      </c>
      <c r="N122" s="124">
        <f>-L36+N36</f>
        <v>260.46562499999982</v>
      </c>
      <c r="P122" s="124">
        <f>-N36+P36</f>
        <v>273.48890624999967</v>
      </c>
    </row>
    <row r="123" spans="1:16" ht="15.75" x14ac:dyDescent="0.25">
      <c r="A123" s="58" t="s">
        <v>114</v>
      </c>
      <c r="B123" s="5" t="s">
        <v>130</v>
      </c>
      <c r="C123" s="88">
        <f>+'Projected FS'!C37-'Projected FS'!E37</f>
        <v>3000</v>
      </c>
      <c r="H123" s="124">
        <f>-C37+H37</f>
        <v>500</v>
      </c>
      <c r="J123" s="124">
        <f>-H37+J37</f>
        <v>525</v>
      </c>
      <c r="L123" s="124">
        <f>-J37+L37</f>
        <v>551.25</v>
      </c>
      <c r="N123" s="124">
        <f>-L37+N37</f>
        <v>578.8125</v>
      </c>
      <c r="P123" s="124">
        <f>-N37+P37</f>
        <v>607.75312500000109</v>
      </c>
    </row>
    <row r="124" spans="1:16" ht="15.75" x14ac:dyDescent="0.25">
      <c r="A124" s="58" t="s">
        <v>115</v>
      </c>
      <c r="B124" s="5" t="s">
        <v>131</v>
      </c>
      <c r="C124" s="90">
        <f>+'Projected FS'!C38-'Projected FS'!E38</f>
        <v>100</v>
      </c>
      <c r="H124" s="124">
        <f>-C38+H38</f>
        <v>10</v>
      </c>
      <c r="J124" s="124">
        <f>-H38+J38</f>
        <v>10.5</v>
      </c>
      <c r="L124" s="124">
        <f>-J38+L38</f>
        <v>11.025000000000006</v>
      </c>
      <c r="N124" s="124">
        <f>-L38+N38</f>
        <v>11.576249999999987</v>
      </c>
      <c r="P124" s="124">
        <f>-N38+P38</f>
        <v>12.155062500000014</v>
      </c>
    </row>
    <row r="125" spans="1:16" ht="15.75" x14ac:dyDescent="0.25">
      <c r="A125" s="58"/>
      <c r="B125" s="5"/>
      <c r="C125" s="88"/>
      <c r="H125" s="123"/>
      <c r="J125" s="123"/>
      <c r="L125" s="123"/>
      <c r="N125" s="123"/>
      <c r="P125" s="123"/>
    </row>
    <row r="126" spans="1:16" ht="56.25" x14ac:dyDescent="0.3">
      <c r="A126" s="62" t="s">
        <v>116</v>
      </c>
      <c r="B126" s="63" t="s">
        <v>132</v>
      </c>
      <c r="C126" s="91">
        <f>SUM(C105:C124)</f>
        <v>111600</v>
      </c>
      <c r="H126" s="125">
        <f ca="1">SUM(H105:H124)</f>
        <v>114467.14285714287</v>
      </c>
      <c r="J126" s="125">
        <f ca="1">SUM(J105:J124)</f>
        <v>120047.64285714287</v>
      </c>
      <c r="L126" s="125">
        <f ca="1">SUM(L105:L124)</f>
        <v>125907.16785714286</v>
      </c>
      <c r="N126" s="125">
        <f ca="1">SUM(N105:N124)</f>
        <v>132059.66910714286</v>
      </c>
      <c r="P126" s="125">
        <f ca="1">SUM(P105:P124)</f>
        <v>138519.79541964282</v>
      </c>
    </row>
    <row r="127" spans="1:16" ht="15.75" x14ac:dyDescent="0.25">
      <c r="A127" s="59"/>
      <c r="B127" s="6"/>
      <c r="C127" s="89"/>
      <c r="H127" s="123"/>
      <c r="J127" s="123"/>
      <c r="L127" s="123"/>
      <c r="N127" s="123"/>
      <c r="P127" s="123"/>
    </row>
    <row r="128" spans="1:16" ht="15.75" x14ac:dyDescent="0.25">
      <c r="A128" s="58"/>
      <c r="B128" s="5"/>
      <c r="C128" s="90"/>
      <c r="H128" s="123"/>
      <c r="J128" s="123"/>
      <c r="L128" s="123"/>
      <c r="N128" s="123"/>
      <c r="P128" s="123"/>
    </row>
    <row r="129" spans="1:16" ht="31.5" x14ac:dyDescent="0.25">
      <c r="A129" s="57" t="s">
        <v>98</v>
      </c>
      <c r="B129" s="7" t="s">
        <v>104</v>
      </c>
      <c r="C129" s="87">
        <v>2012</v>
      </c>
      <c r="H129" s="123"/>
      <c r="J129" s="123"/>
      <c r="L129" s="123"/>
      <c r="N129" s="123"/>
      <c r="P129" s="123"/>
    </row>
    <row r="130" spans="1:16" ht="47.25" x14ac:dyDescent="0.25">
      <c r="A130" s="61" t="s">
        <v>167</v>
      </c>
      <c r="B130" s="8" t="s">
        <v>139</v>
      </c>
      <c r="C130" s="92">
        <f>-'Projected FS'!C15+'Projected FS'!E15</f>
        <v>-20000</v>
      </c>
      <c r="H130" s="124">
        <f>+C15-H15</f>
        <v>25000</v>
      </c>
      <c r="J130" s="124">
        <f>+H15-J15</f>
        <v>-45000</v>
      </c>
      <c r="L130" s="124">
        <f>+J15-L15</f>
        <v>-30000</v>
      </c>
      <c r="N130" s="124">
        <f>+L15-N15</f>
        <v>80000</v>
      </c>
      <c r="P130" s="124">
        <f>+N15-P15</f>
        <v>0</v>
      </c>
    </row>
    <row r="131" spans="1:16" ht="15.75" x14ac:dyDescent="0.25">
      <c r="A131" s="58" t="s">
        <v>191</v>
      </c>
      <c r="B131" s="5" t="s">
        <v>206</v>
      </c>
      <c r="C131" s="88">
        <f>-'Projected FS'!C16+'Projected FS'!E16</f>
        <v>-110000</v>
      </c>
      <c r="H131" s="124">
        <f>+C16-H16</f>
        <v>-80000</v>
      </c>
      <c r="J131" s="124">
        <f>+H16-J16</f>
        <v>-14000</v>
      </c>
      <c r="L131" s="124">
        <f>+J16-L16</f>
        <v>-29700</v>
      </c>
      <c r="N131" s="124">
        <f>+L16-N16</f>
        <v>-141185</v>
      </c>
      <c r="P131" s="124">
        <f>+N16-P16</f>
        <v>-68244.25</v>
      </c>
    </row>
    <row r="132" spans="1:16" ht="15.75" x14ac:dyDescent="0.25">
      <c r="A132" s="58" t="s">
        <v>163</v>
      </c>
      <c r="B132" s="5" t="s">
        <v>164</v>
      </c>
      <c r="C132" s="88">
        <f>-'Projected FS'!C26+'Projected FS'!E26</f>
        <v>-15000</v>
      </c>
      <c r="H132" s="124">
        <f>C26-H26</f>
        <v>-4000</v>
      </c>
      <c r="J132" s="124">
        <f>H26-J26</f>
        <v>0</v>
      </c>
      <c r="L132" s="124">
        <f>J26-L26</f>
        <v>0</v>
      </c>
      <c r="N132" s="124">
        <f>L26-N26</f>
        <v>0</v>
      </c>
      <c r="P132" s="124">
        <f>N26-P26</f>
        <v>0</v>
      </c>
    </row>
    <row r="133" spans="1:16" ht="15.75" x14ac:dyDescent="0.25">
      <c r="A133" s="58" t="s">
        <v>192</v>
      </c>
      <c r="B133" s="5" t="s">
        <v>147</v>
      </c>
      <c r="C133" s="88">
        <f>-'Projected FS'!C19+'Projected FS'!E19</f>
        <v>-5000</v>
      </c>
      <c r="H133" s="124">
        <f>+C19-H19</f>
        <v>-1000</v>
      </c>
      <c r="J133" s="124">
        <f>+H19-J19</f>
        <v>-1050</v>
      </c>
      <c r="L133" s="124">
        <f>+J19-L19</f>
        <v>-1102.5</v>
      </c>
      <c r="N133" s="124">
        <f>+L19-N19</f>
        <v>-1157.625</v>
      </c>
      <c r="P133" s="124">
        <f>+N19-P19</f>
        <v>-1215.5062500000022</v>
      </c>
    </row>
    <row r="134" spans="1:16" ht="15.75" x14ac:dyDescent="0.25">
      <c r="A134" s="58" t="s">
        <v>193</v>
      </c>
      <c r="B134" s="5" t="s">
        <v>194</v>
      </c>
      <c r="C134" s="88">
        <f>-'Projected FS'!C24-'Projected FS'!C25+'Projected FS'!E24+'Projected FS'!E25</f>
        <v>1000</v>
      </c>
      <c r="H134" s="124">
        <f>+C24+C25-H24-H25</f>
        <v>-450</v>
      </c>
      <c r="J134" s="124">
        <f>+H24+H25-J24-J25</f>
        <v>-472.5</v>
      </c>
      <c r="L134" s="124">
        <f>+J24+J25-L24-L25</f>
        <v>-496.125</v>
      </c>
      <c r="N134" s="124">
        <f>+L24+L25-N24-N25</f>
        <v>-520.93125000000055</v>
      </c>
      <c r="P134" s="124">
        <f>+N24+N25-P24-P25</f>
        <v>-546.97781250000025</v>
      </c>
    </row>
    <row r="135" spans="1:16" ht="15.75" x14ac:dyDescent="0.25">
      <c r="A135" s="58"/>
      <c r="B135" s="5"/>
      <c r="C135" s="90"/>
      <c r="H135" s="123"/>
      <c r="J135" s="123"/>
      <c r="L135" s="123"/>
      <c r="N135" s="123"/>
      <c r="P135" s="123"/>
    </row>
    <row r="136" spans="1:16" ht="56.25" x14ac:dyDescent="0.3">
      <c r="A136" s="62" t="s">
        <v>117</v>
      </c>
      <c r="B136" s="63" t="s">
        <v>133</v>
      </c>
      <c r="C136" s="91">
        <f>SUM(C130:C135)</f>
        <v>-149000</v>
      </c>
      <c r="H136" s="125">
        <f>SUM(H130:H135)</f>
        <v>-60450</v>
      </c>
      <c r="J136" s="125">
        <f>SUM(J130:J135)</f>
        <v>-60522.5</v>
      </c>
      <c r="L136" s="125">
        <f>SUM(L130:L135)</f>
        <v>-61298.625</v>
      </c>
      <c r="N136" s="125">
        <f>SUM(N130:N135)</f>
        <v>-62863.556250000001</v>
      </c>
      <c r="P136" s="125">
        <f>SUM(P130:P135)</f>
        <v>-70006.734062500007</v>
      </c>
    </row>
    <row r="137" spans="1:16" ht="15.75" x14ac:dyDescent="0.25">
      <c r="A137" s="59"/>
      <c r="B137" s="6"/>
      <c r="C137" s="93"/>
      <c r="H137" s="123"/>
      <c r="J137" s="123"/>
      <c r="L137" s="123"/>
      <c r="N137" s="123"/>
      <c r="P137" s="123"/>
    </row>
    <row r="138" spans="1:16" ht="15.75" x14ac:dyDescent="0.25">
      <c r="A138" s="58"/>
      <c r="B138" s="5"/>
      <c r="C138" s="90"/>
      <c r="H138" s="123"/>
      <c r="J138" s="123"/>
      <c r="L138" s="123"/>
      <c r="N138" s="123"/>
      <c r="P138" s="123"/>
    </row>
    <row r="139" spans="1:16" ht="47.25" x14ac:dyDescent="0.25">
      <c r="A139" s="57" t="s">
        <v>99</v>
      </c>
      <c r="B139" s="7" t="s">
        <v>105</v>
      </c>
      <c r="C139" s="87"/>
      <c r="H139" s="123"/>
      <c r="J139" s="123"/>
      <c r="L139" s="123"/>
      <c r="N139" s="123"/>
      <c r="P139" s="123"/>
    </row>
    <row r="140" spans="1:16" ht="31.5" x14ac:dyDescent="0.25">
      <c r="A140" s="61" t="s">
        <v>118</v>
      </c>
      <c r="B140" s="8" t="s">
        <v>148</v>
      </c>
      <c r="C140" s="92">
        <f>+'Projected FS'!C43-'Projected FS'!E43+'Projected FS'!C33-'Projected FS'!E33</f>
        <v>21000</v>
      </c>
      <c r="H140" s="124">
        <f ca="1">-C43-C33+H43+H33</f>
        <v>-108683.21150146809</v>
      </c>
      <c r="J140" s="124">
        <f ca="1">-H43-H33+J43+J33</f>
        <v>65828.921474033603</v>
      </c>
      <c r="L140" s="124">
        <f ca="1">-J43-J33+L43+L33</f>
        <v>27560.140587331043</v>
      </c>
      <c r="N140" s="124">
        <f ca="1">-L43-L33+N43+N33</f>
        <v>-87161.734848710126</v>
      </c>
      <c r="P140" s="124">
        <f ca="1">-N43-N33+P43+P33</f>
        <v>-12231.992726611799</v>
      </c>
    </row>
    <row r="141" spans="1:16" ht="15.75" x14ac:dyDescent="0.25">
      <c r="A141" s="58"/>
      <c r="B141" s="5"/>
      <c r="C141" s="88"/>
      <c r="H141" s="124"/>
      <c r="J141" s="124"/>
      <c r="L141" s="124"/>
      <c r="N141" s="124"/>
      <c r="P141" s="124"/>
    </row>
    <row r="142" spans="1:16" ht="31.5" x14ac:dyDescent="0.25">
      <c r="A142" s="58" t="s">
        <v>119</v>
      </c>
      <c r="B142" s="5" t="s">
        <v>149</v>
      </c>
      <c r="C142" s="88">
        <f>+'Projected FS'!C53+'Projected FS'!C54-'Projected FS'!E53-'Projected FS'!E54</f>
        <v>50050</v>
      </c>
      <c r="H142" s="124">
        <f>-C54-C53+H54+H53</f>
        <v>60100</v>
      </c>
      <c r="J142" s="124">
        <f>-H54-H53+J54+J53</f>
        <v>0</v>
      </c>
      <c r="L142" s="124">
        <f>-J54-J53+L54+L53</f>
        <v>0</v>
      </c>
      <c r="N142" s="124">
        <f>-L54-L53+N54+N53</f>
        <v>0</v>
      </c>
      <c r="P142" s="124">
        <f>-N54-N53+P54+P53</f>
        <v>0</v>
      </c>
    </row>
    <row r="143" spans="1:16" ht="47.25" x14ac:dyDescent="0.25">
      <c r="A143" s="60" t="s">
        <v>218</v>
      </c>
      <c r="B143" s="9" t="s">
        <v>219</v>
      </c>
      <c r="C143" s="94">
        <v>-28650</v>
      </c>
      <c r="H143" s="127">
        <f ca="1">-(+H126+H136+H140+H142+H150-H152)</f>
        <v>-68433.93135567478</v>
      </c>
      <c r="J143" s="127">
        <f ca="1">-(+J126+J136+J140+J142+J150-J152)</f>
        <v>-95354.064331176458</v>
      </c>
      <c r="L143" s="127">
        <f ca="1">-(+L126+L136+L140+L142+L150-L152)</f>
        <v>-82168.683444473892</v>
      </c>
      <c r="N143" s="127">
        <f ca="1">-(+N126+N136+N140+N142+N150-N152)</f>
        <v>27965.621991567255</v>
      </c>
      <c r="P143" s="127">
        <f ca="1">-(+P126+P136+P140+P142+P150-P152)</f>
        <v>-56281.068630531008</v>
      </c>
    </row>
    <row r="144" spans="1:16" ht="15.75" x14ac:dyDescent="0.25">
      <c r="A144" s="58"/>
      <c r="B144" s="5"/>
      <c r="C144" s="88"/>
      <c r="H144" s="123"/>
      <c r="J144" s="123"/>
      <c r="L144" s="123"/>
      <c r="N144" s="123"/>
      <c r="P144" s="123"/>
    </row>
    <row r="145" spans="1:16" ht="56.25" x14ac:dyDescent="0.3">
      <c r="A145" s="62" t="s">
        <v>120</v>
      </c>
      <c r="B145" s="63" t="s">
        <v>134</v>
      </c>
      <c r="C145" s="91">
        <f>SUM(C140:C144)</f>
        <v>42400</v>
      </c>
      <c r="H145" s="131">
        <f ca="1">+H143+H142+H140</f>
        <v>-117017.14285714287</v>
      </c>
      <c r="I145" s="132"/>
      <c r="J145" s="131">
        <f ca="1">+J143+J142+J140</f>
        <v>-29525.142857142855</v>
      </c>
      <c r="K145" s="132"/>
      <c r="L145" s="131">
        <f ca="1">+L143+L142+L140</f>
        <v>-54608.542857142849</v>
      </c>
      <c r="N145" s="131">
        <f ca="1">+N143+N142+N140</f>
        <v>-59196.112857142871</v>
      </c>
      <c r="P145" s="131">
        <f ca="1">+P143+P142+P140</f>
        <v>-68513.061357142811</v>
      </c>
    </row>
    <row r="146" spans="1:16" ht="15.75" x14ac:dyDescent="0.25">
      <c r="A146" s="59"/>
      <c r="B146" s="6"/>
      <c r="C146" s="93"/>
      <c r="H146" s="123"/>
      <c r="J146" s="123"/>
      <c r="L146" s="123"/>
      <c r="N146" s="123"/>
      <c r="P146" s="123"/>
    </row>
    <row r="147" spans="1:16" ht="15.75" x14ac:dyDescent="0.25">
      <c r="A147" s="59"/>
      <c r="B147" s="6"/>
      <c r="C147" s="89"/>
      <c r="H147" s="123"/>
      <c r="J147" s="123"/>
      <c r="L147" s="123"/>
      <c r="N147" s="123"/>
      <c r="P147" s="123"/>
    </row>
    <row r="148" spans="1:16" ht="56.25" x14ac:dyDescent="0.3">
      <c r="A148" s="64" t="s">
        <v>121</v>
      </c>
      <c r="B148" s="65" t="s">
        <v>135</v>
      </c>
      <c r="C148" s="95">
        <f>+C126+C136+C145</f>
        <v>5000</v>
      </c>
      <c r="H148" s="131">
        <f ca="1">+H126+H136+H145</f>
        <v>-63000</v>
      </c>
      <c r="I148" s="132"/>
      <c r="J148" s="131">
        <f ca="1">+J126+J136+J145</f>
        <v>30000.000000000015</v>
      </c>
      <c r="K148" s="132"/>
      <c r="L148" s="131">
        <f ca="1">+L126+L136+L145</f>
        <v>10000.000000000015</v>
      </c>
      <c r="N148" s="131">
        <f ca="1">+N126+N136+N145</f>
        <v>10000</v>
      </c>
      <c r="P148" s="131">
        <f ca="1">+P126+P136+P145</f>
        <v>0</v>
      </c>
    </row>
    <row r="149" spans="1:16" ht="18.75" x14ac:dyDescent="0.3">
      <c r="A149" s="66"/>
      <c r="B149" s="67"/>
      <c r="C149" s="88"/>
      <c r="H149" s="126"/>
      <c r="J149" s="126"/>
      <c r="L149" s="126"/>
      <c r="N149" s="126"/>
      <c r="P149" s="126"/>
    </row>
    <row r="150" spans="1:16" ht="56.25" x14ac:dyDescent="0.3">
      <c r="A150" s="68" t="s">
        <v>122</v>
      </c>
      <c r="B150" s="69" t="s">
        <v>136</v>
      </c>
      <c r="C150" s="93">
        <f>+'Projected FS'!E5</f>
        <v>78000</v>
      </c>
      <c r="H150" s="133">
        <f>+C152</f>
        <v>83000</v>
      </c>
      <c r="I150" s="134"/>
      <c r="J150" s="133">
        <f>+H152</f>
        <v>20000</v>
      </c>
      <c r="K150" s="134"/>
      <c r="L150" s="133">
        <f>+J152</f>
        <v>50000</v>
      </c>
      <c r="N150" s="133">
        <f>+L152</f>
        <v>60000</v>
      </c>
      <c r="P150" s="133">
        <f>+N152</f>
        <v>70000</v>
      </c>
    </row>
    <row r="151" spans="1:16" ht="18.75" x14ac:dyDescent="0.3">
      <c r="A151" s="66"/>
      <c r="B151" s="67"/>
      <c r="C151" s="88"/>
      <c r="H151" s="130"/>
      <c r="I151" s="129"/>
      <c r="J151" s="130"/>
      <c r="K151" s="129"/>
      <c r="L151" s="130"/>
      <c r="N151" s="130"/>
      <c r="P151" s="130"/>
    </row>
    <row r="152" spans="1:16" ht="57" thickBot="1" x14ac:dyDescent="0.35">
      <c r="A152" s="70" t="s">
        <v>123</v>
      </c>
      <c r="B152" s="71" t="s">
        <v>137</v>
      </c>
      <c r="C152" s="96">
        <f>+C150+C148</f>
        <v>83000</v>
      </c>
      <c r="H152" s="128">
        <f>+G5</f>
        <v>20000</v>
      </c>
      <c r="I152" s="129"/>
      <c r="J152" s="128">
        <f>+I5</f>
        <v>50000</v>
      </c>
      <c r="K152" s="129"/>
      <c r="L152" s="128">
        <f>+K5</f>
        <v>60000</v>
      </c>
      <c r="N152" s="128">
        <f>+M5</f>
        <v>70000</v>
      </c>
      <c r="P152" s="128">
        <f>+O5</f>
        <v>70000</v>
      </c>
    </row>
    <row r="153" spans="1:16" x14ac:dyDescent="0.2">
      <c r="H153" s="11"/>
      <c r="J153" s="11"/>
      <c r="L153" s="11"/>
      <c r="N153" s="11"/>
      <c r="P153" s="11"/>
    </row>
  </sheetData>
  <mergeCells count="2">
    <mergeCell ref="A1:B1"/>
    <mergeCell ref="A66:B6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Projected FS</vt:lpstr>
      <vt:lpstr>'Projected FS'!Print_Area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PANTEION</cp:lastModifiedBy>
  <dcterms:created xsi:type="dcterms:W3CDTF">2012-11-17T07:26:13Z</dcterms:created>
  <dcterms:modified xsi:type="dcterms:W3CDTF">2023-04-25T15:56:07Z</dcterms:modified>
</cp:coreProperties>
</file>