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nstantinosliapis/Desktop/"/>
    </mc:Choice>
  </mc:AlternateContent>
  <xr:revisionPtr revIDLastSave="0" documentId="8_{9C220ED4-DEE4-D248-9048-164040F2BBDD}" xr6:coauthVersionLast="47" xr6:coauthVersionMax="47" xr10:uidLastSave="{00000000-0000-0000-0000-000000000000}"/>
  <bookViews>
    <workbookView xWindow="0" yWindow="780" windowWidth="16000" windowHeight="12000" firstSheet="1" activeTab="5" xr2:uid="{CF10505A-6A8F-4B8F-8FD8-E948CFBBF413}"/>
  </bookViews>
  <sheets>
    <sheet name="ΑΠΛΟΣ ΕΚΤΟΚΙΣΜΟΣ" sheetId="1" r:id="rId1"/>
    <sheet name="ΑΝΑΤΟΚΙΣΜΟΣ" sheetId="2" r:id="rId2"/>
    <sheet name="Μ ΠΕΡΙΟΔΟΙ ΔΙΑΡΚΗΣ" sheetId="3" r:id="rId3"/>
    <sheet name="ΡΑΝΤΕΣ" sheetId="4" r:id="rId4"/>
    <sheet name="ΚΠΑ-ΕΡΑ, NPV-IRR" sheetId="5" r:id="rId5"/>
    <sheet name="Sheet1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6" l="1"/>
  <c r="G27" i="6"/>
  <c r="I27" i="6"/>
  <c r="B38" i="6"/>
  <c r="B36" i="6"/>
  <c r="B34" i="6"/>
  <c r="B32" i="6"/>
  <c r="F27" i="6"/>
  <c r="E27" i="6"/>
  <c r="D27" i="6"/>
  <c r="C27" i="6"/>
  <c r="O5" i="6"/>
  <c r="P5" i="6" s="1"/>
  <c r="Q5" i="6" s="1"/>
  <c r="Q4" i="6"/>
  <c r="P4" i="6"/>
  <c r="O4" i="6"/>
  <c r="Q3" i="6"/>
  <c r="P3" i="6"/>
  <c r="O3" i="6"/>
  <c r="N14" i="6"/>
  <c r="M4" i="6"/>
  <c r="M5" i="6"/>
  <c r="M6" i="6"/>
  <c r="M7" i="6"/>
  <c r="M8" i="6"/>
  <c r="M9" i="6"/>
  <c r="M10" i="6"/>
  <c r="M11" i="6"/>
  <c r="N11" i="6" s="1"/>
  <c r="M12" i="6"/>
  <c r="N4" i="6"/>
  <c r="N5" i="6"/>
  <c r="N6" i="6"/>
  <c r="N7" i="6"/>
  <c r="N8" i="6"/>
  <c r="N9" i="6"/>
  <c r="N10" i="6"/>
  <c r="N12" i="6"/>
  <c r="N3" i="6"/>
  <c r="M3" i="6"/>
  <c r="L12" i="6"/>
  <c r="L5" i="6"/>
  <c r="L6" i="6" s="1"/>
  <c r="L7" i="6" s="1"/>
  <c r="L8" i="6" s="1"/>
  <c r="L9" i="6" s="1"/>
  <c r="L10" i="6" s="1"/>
  <c r="L11" i="6" s="1"/>
  <c r="L4" i="6"/>
  <c r="L3" i="6"/>
  <c r="F22" i="6"/>
  <c r="F21" i="6"/>
  <c r="G16" i="6"/>
  <c r="D18" i="6"/>
  <c r="D21" i="6"/>
  <c r="E21" i="6"/>
  <c r="D16" i="6"/>
  <c r="I5" i="6"/>
  <c r="I6" i="6"/>
  <c r="I7" i="6"/>
  <c r="I8" i="6"/>
  <c r="J8" i="6" s="1"/>
  <c r="I9" i="6"/>
  <c r="J9" i="6" s="1"/>
  <c r="I10" i="6"/>
  <c r="I11" i="6"/>
  <c r="I12" i="6"/>
  <c r="I4" i="6"/>
  <c r="I3" i="6"/>
  <c r="H5" i="6"/>
  <c r="H6" i="6"/>
  <c r="H7" i="6"/>
  <c r="H8" i="6"/>
  <c r="H9" i="6"/>
  <c r="H10" i="6"/>
  <c r="H11" i="6"/>
  <c r="H12" i="6"/>
  <c r="H4" i="6"/>
  <c r="H3" i="6"/>
  <c r="F4" i="6"/>
  <c r="J4" i="6" s="1"/>
  <c r="F5" i="6"/>
  <c r="F6" i="6"/>
  <c r="F7" i="6"/>
  <c r="F8" i="6"/>
  <c r="F9" i="6"/>
  <c r="F10" i="6"/>
  <c r="F11" i="6"/>
  <c r="F12" i="6"/>
  <c r="F3" i="6"/>
  <c r="G5" i="6"/>
  <c r="G6" i="6" s="1"/>
  <c r="G7" i="6" s="1"/>
  <c r="G8" i="6" s="1"/>
  <c r="G9" i="6" s="1"/>
  <c r="G10" i="6" s="1"/>
  <c r="G11" i="6" s="1"/>
  <c r="G12" i="6" s="1"/>
  <c r="G4" i="6"/>
  <c r="G3" i="6"/>
  <c r="D12" i="6"/>
  <c r="E12" i="6"/>
  <c r="D4" i="6"/>
  <c r="D5" i="6"/>
  <c r="D6" i="6"/>
  <c r="D7" i="6"/>
  <c r="D8" i="6"/>
  <c r="D9" i="6"/>
  <c r="D10" i="6"/>
  <c r="D11" i="6"/>
  <c r="D3" i="6"/>
  <c r="E17" i="5"/>
  <c r="G17" i="5" s="1"/>
  <c r="E18" i="5"/>
  <c r="F18" i="5" s="1"/>
  <c r="E19" i="5"/>
  <c r="G19" i="5" s="1"/>
  <c r="E20" i="5"/>
  <c r="G20" i="5" s="1"/>
  <c r="E21" i="5"/>
  <c r="G21" i="5" s="1"/>
  <c r="E16" i="5"/>
  <c r="H16" i="5" s="1"/>
  <c r="O6" i="6" l="1"/>
  <c r="P6" i="6" s="1"/>
  <c r="Q6" i="6"/>
  <c r="J12" i="6"/>
  <c r="J10" i="6"/>
  <c r="J7" i="6"/>
  <c r="K7" i="6" s="1"/>
  <c r="J11" i="6"/>
  <c r="K11" i="6" s="1"/>
  <c r="J3" i="6"/>
  <c r="K3" i="6" s="1"/>
  <c r="J6" i="6"/>
  <c r="J5" i="6"/>
  <c r="K5" i="6"/>
  <c r="K12" i="6"/>
  <c r="K4" i="6"/>
  <c r="K9" i="6"/>
  <c r="K8" i="6"/>
  <c r="K10" i="6"/>
  <c r="K6" i="6"/>
  <c r="F16" i="5"/>
  <c r="F21" i="5"/>
  <c r="F17" i="5"/>
  <c r="G16" i="5"/>
  <c r="H21" i="5"/>
  <c r="H19" i="5"/>
  <c r="H18" i="5"/>
  <c r="G18" i="5"/>
  <c r="G22" i="5" s="1"/>
  <c r="H17" i="5"/>
  <c r="F20" i="5"/>
  <c r="F19" i="5"/>
  <c r="H20" i="5"/>
  <c r="B29" i="4"/>
  <c r="C22" i="4"/>
  <c r="B46" i="3"/>
  <c r="C19" i="3"/>
  <c r="C31" i="3" s="1"/>
  <c r="C34" i="3" s="1"/>
  <c r="D33" i="2"/>
  <c r="B31" i="2"/>
  <c r="B29" i="1"/>
  <c r="C17" i="1"/>
  <c r="B17" i="1"/>
  <c r="B5" i="1"/>
  <c r="E33" i="2"/>
  <c r="C26" i="2"/>
  <c r="B30" i="1"/>
  <c r="D5" i="1"/>
  <c r="O7" i="6" l="1"/>
  <c r="P7" i="6" s="1"/>
  <c r="Q7" i="6" s="1"/>
  <c r="K14" i="6"/>
  <c r="H22" i="5"/>
  <c r="F22" i="5"/>
  <c r="E50" i="4"/>
  <c r="D52" i="4" s="1"/>
  <c r="D53" i="4" s="1"/>
  <c r="D54" i="4" s="1"/>
  <c r="O8" i="6" l="1"/>
  <c r="P8" i="6" s="1"/>
  <c r="Q8" i="6"/>
  <c r="E44" i="4"/>
  <c r="D46" i="4" s="1"/>
  <c r="D47" i="4" s="1"/>
  <c r="O9" i="6" l="1"/>
  <c r="P9" i="6" s="1"/>
  <c r="Q9" i="6"/>
  <c r="B40" i="5"/>
  <c r="C40" i="5"/>
  <c r="D40" i="5"/>
  <c r="C31" i="5"/>
  <c r="D31" i="5"/>
  <c r="C32" i="5"/>
  <c r="D32" i="5"/>
  <c r="C33" i="5"/>
  <c r="D33" i="5"/>
  <c r="C34" i="5"/>
  <c r="D34" i="5"/>
  <c r="C35" i="5"/>
  <c r="D35" i="5"/>
  <c r="C36" i="5"/>
  <c r="D36" i="5"/>
  <c r="B32" i="5"/>
  <c r="B33" i="5"/>
  <c r="B34" i="5"/>
  <c r="B35" i="5"/>
  <c r="B36" i="5"/>
  <c r="B31" i="5"/>
  <c r="O10" i="6" l="1"/>
  <c r="P10" i="6" s="1"/>
  <c r="Q10" i="6" s="1"/>
  <c r="C38" i="5"/>
  <c r="D38" i="5"/>
  <c r="B38" i="5"/>
  <c r="C12" i="5"/>
  <c r="B12" i="5"/>
  <c r="D3" i="5"/>
  <c r="D23" i="5"/>
  <c r="C23" i="5"/>
  <c r="B23" i="5"/>
  <c r="D5" i="5"/>
  <c r="D4" i="5"/>
  <c r="E3" i="5"/>
  <c r="E4" i="5"/>
  <c r="E5" i="5"/>
  <c r="D6" i="5"/>
  <c r="E6" i="5"/>
  <c r="D7" i="5"/>
  <c r="E7" i="5"/>
  <c r="E2" i="5"/>
  <c r="D2" i="5"/>
  <c r="C9" i="5"/>
  <c r="B9" i="5"/>
  <c r="O11" i="6" l="1"/>
  <c r="P11" i="6" s="1"/>
  <c r="Q11" i="6"/>
  <c r="E9" i="5"/>
  <c r="D9" i="5"/>
  <c r="B33" i="4"/>
  <c r="B32" i="4" s="1"/>
  <c r="C32" i="4" s="1"/>
  <c r="D32" i="4" s="1"/>
  <c r="B25" i="4"/>
  <c r="B42" i="3"/>
  <c r="O12" i="6" l="1"/>
  <c r="P12" i="6" s="1"/>
  <c r="Q12" i="6" s="1"/>
  <c r="D34" i="3"/>
  <c r="C16" i="3"/>
  <c r="D16" i="3" s="1"/>
  <c r="C25" i="3"/>
  <c r="D25" i="3" s="1"/>
  <c r="C22" i="3"/>
  <c r="D22" i="3" s="1"/>
  <c r="A8" i="3"/>
  <c r="A9" i="3" s="1"/>
  <c r="A10" i="3" s="1"/>
  <c r="F33" i="2"/>
  <c r="G33" i="2"/>
  <c r="H33" i="2"/>
  <c r="C33" i="2"/>
  <c r="C23" i="2"/>
  <c r="C22" i="2"/>
  <c r="C12" i="2"/>
  <c r="D12" i="2" s="1"/>
  <c r="B25" i="1"/>
  <c r="B15" i="1"/>
  <c r="B16" i="1"/>
  <c r="B26" i="1" s="1"/>
  <c r="B14" i="1"/>
  <c r="B35" i="2" l="1"/>
  <c r="B27" i="1"/>
  <c r="C24" i="2"/>
</calcChain>
</file>

<file path=xl/sharedStrings.xml><?xml version="1.0" encoding="utf-8"?>
<sst xmlns="http://schemas.openxmlformats.org/spreadsheetml/2006/main" count="209" uniqueCount="147">
  <si>
    <t>ΤΟΚΟΣ=ΚΕΦΑΛΑΙΟ*ΕΠΙΤΟΚΙΟ*ΧΡΟΝΟ</t>
  </si>
  <si>
    <t>ΚΕΦΑΛΑΙΟ</t>
  </si>
  <si>
    <t>ΕΠΙΤΟΚΙΟ</t>
  </si>
  <si>
    <t>ΧΡΟΝΟΣ</t>
  </si>
  <si>
    <t>ΜΕΛΛΟΝΤΙΚΟ ΚΕΦΑΛΑΙΟ=ΑΡΧΙΚΟ ΚΕΦΑΛΑΙΟ +ΤΟΚΟΥΣ</t>
  </si>
  <si>
    <t>ΤΥΠΟΣ ΑΠΛΟΥ ΕΚΤΟΚΙΣΜΟΥ</t>
  </si>
  <si>
    <t xml:space="preserve">ΜΕΛΟΝΤΙΚΟ ΚΕΦΑΛΑΙΟ </t>
  </si>
  <si>
    <t>ΠΡΟΕΞΟΦΛΗΣΗΣ</t>
  </si>
  <si>
    <r>
      <t>Κn = K</t>
    </r>
    <r>
      <rPr>
        <vertAlign val="subscript"/>
        <sz val="16"/>
        <color theme="1"/>
        <rFont val="Calibri"/>
        <family val="2"/>
        <charset val="161"/>
        <scheme val="minor"/>
      </rPr>
      <t>0</t>
    </r>
    <r>
      <rPr>
        <sz val="16"/>
        <color theme="1"/>
        <rFont val="Calibri"/>
        <family val="2"/>
        <charset val="161"/>
        <scheme val="minor"/>
      </rPr>
      <t>+T</t>
    </r>
  </si>
  <si>
    <t>ΕΊΝΑΙ ΤΟ ΙΔΙΟ</t>
  </si>
  <si>
    <t>ΑΡΧΙΚΟ ΚΕΦΑΛΑΙΟ</t>
  </si>
  <si>
    <r>
      <t>Κ1 = K</t>
    </r>
    <r>
      <rPr>
        <vertAlign val="subscript"/>
        <sz val="16"/>
        <color theme="1"/>
        <rFont val="Calibri"/>
        <family val="2"/>
        <charset val="161"/>
        <scheme val="minor"/>
      </rPr>
      <t>0</t>
    </r>
    <r>
      <rPr>
        <sz val="16"/>
        <color theme="1"/>
        <rFont val="Calibri"/>
        <family val="2"/>
        <charset val="161"/>
        <scheme val="minor"/>
      </rPr>
      <t>*(1+i*1)</t>
    </r>
  </si>
  <si>
    <r>
      <t>Κ1 = K</t>
    </r>
    <r>
      <rPr>
        <vertAlign val="subscript"/>
        <sz val="16"/>
        <color theme="1"/>
        <rFont val="Calibri"/>
        <family val="2"/>
        <charset val="161"/>
        <scheme val="minor"/>
      </rPr>
      <t>0</t>
    </r>
    <r>
      <rPr>
        <sz val="16"/>
        <color theme="1"/>
        <rFont val="Calibri"/>
        <family val="2"/>
        <charset val="161"/>
        <scheme val="minor"/>
      </rPr>
      <t>*(1+i)</t>
    </r>
  </si>
  <si>
    <t>Κ2 = K1*(1+i*1)</t>
  </si>
  <si>
    <t>Κ2 = K1*(1+i)</t>
  </si>
  <si>
    <t>Κ3 = K2*(1+i*1)</t>
  </si>
  <si>
    <t>Κ3 = K2*(1+i)</t>
  </si>
  <si>
    <t>Κ2 = K0*(1+i)*(1+i)</t>
  </si>
  <si>
    <r>
      <t>Κ2 = K0*(1+i)</t>
    </r>
    <r>
      <rPr>
        <vertAlign val="superscript"/>
        <sz val="16"/>
        <color theme="1"/>
        <rFont val="Calibri"/>
        <family val="2"/>
        <charset val="161"/>
        <scheme val="minor"/>
      </rPr>
      <t>2</t>
    </r>
  </si>
  <si>
    <r>
      <t>Κ3 = K0*(1+i)</t>
    </r>
    <r>
      <rPr>
        <vertAlign val="superscript"/>
        <sz val="16"/>
        <color theme="1"/>
        <rFont val="Calibri"/>
        <family val="2"/>
        <charset val="161"/>
        <scheme val="minor"/>
      </rPr>
      <t>2</t>
    </r>
    <r>
      <rPr>
        <sz val="16"/>
        <color theme="1"/>
        <rFont val="Calibri"/>
        <family val="2"/>
        <charset val="161"/>
        <scheme val="minor"/>
      </rPr>
      <t>*(1+i)</t>
    </r>
  </si>
  <si>
    <r>
      <t>Κ3 = K0*(1+i)</t>
    </r>
    <r>
      <rPr>
        <vertAlign val="superscript"/>
        <sz val="16"/>
        <color theme="1"/>
        <rFont val="Calibri"/>
        <family val="2"/>
        <charset val="161"/>
        <scheme val="minor"/>
      </rPr>
      <t>3</t>
    </r>
  </si>
  <si>
    <r>
      <t>Κn = K0*(1+i)</t>
    </r>
    <r>
      <rPr>
        <vertAlign val="superscript"/>
        <sz val="16"/>
        <color theme="1"/>
        <rFont val="Calibri"/>
        <family val="2"/>
        <charset val="161"/>
        <scheme val="minor"/>
      </rPr>
      <t>n</t>
    </r>
  </si>
  <si>
    <t>ΜΕΛΛΟΝΤΙΚΟ ΚΕΦΑΛΑΙΟ ΜΕ ΑΝΑΤΟΚΙΣΜΟ</t>
  </si>
  <si>
    <t>ΜΕΛΛΟΝΤΙΚΟ ΚΕΦΑΛΑΙΟ</t>
  </si>
  <si>
    <r>
      <t>K0= Κn /(1+i)</t>
    </r>
    <r>
      <rPr>
        <vertAlign val="superscript"/>
        <sz val="16"/>
        <color theme="1"/>
        <rFont val="Calibri"/>
        <family val="2"/>
        <charset val="161"/>
        <scheme val="minor"/>
      </rPr>
      <t>n</t>
    </r>
  </si>
  <si>
    <t>ΠΡΟΕΞΟΦΛΗΣΗ ΜΕ ΑΝΑΤΟΚΙΣΜΟ</t>
  </si>
  <si>
    <r>
      <t>1 /(1+i)</t>
    </r>
    <r>
      <rPr>
        <vertAlign val="superscript"/>
        <sz val="16"/>
        <color theme="1"/>
        <rFont val="Calibri"/>
        <family val="2"/>
        <charset val="161"/>
        <scheme val="minor"/>
      </rPr>
      <t>n</t>
    </r>
    <r>
      <rPr>
        <sz val="16"/>
        <color theme="1"/>
        <rFont val="Calibri"/>
        <family val="2"/>
        <charset val="161"/>
        <scheme val="minor"/>
      </rPr>
      <t xml:space="preserve"> </t>
    </r>
  </si>
  <si>
    <r>
      <t>(1+i)</t>
    </r>
    <r>
      <rPr>
        <b/>
        <vertAlign val="superscript"/>
        <sz val="16"/>
        <color theme="1"/>
        <rFont val="Calibri"/>
        <family val="2"/>
        <charset val="161"/>
        <scheme val="minor"/>
      </rPr>
      <t>n</t>
    </r>
    <r>
      <rPr>
        <b/>
        <sz val="16"/>
        <color theme="1"/>
        <rFont val="Calibri"/>
        <family val="2"/>
        <charset val="161"/>
        <scheme val="minor"/>
      </rPr>
      <t xml:space="preserve"> </t>
    </r>
  </si>
  <si>
    <t>ΣΥΝΤΛΕΣΤΗΣ</t>
  </si>
  <si>
    <r>
      <t>(1+i)</t>
    </r>
    <r>
      <rPr>
        <b/>
        <vertAlign val="superscript"/>
        <sz val="16"/>
        <color theme="1"/>
        <rFont val="Calibri"/>
        <family val="2"/>
        <charset val="161"/>
        <scheme val="minor"/>
      </rPr>
      <t>-n</t>
    </r>
    <r>
      <rPr>
        <b/>
        <sz val="16"/>
        <color theme="1"/>
        <rFont val="Calibri"/>
        <family val="2"/>
        <charset val="161"/>
        <scheme val="minor"/>
      </rPr>
      <t xml:space="preserve"> </t>
    </r>
  </si>
  <si>
    <t>ΕΣΤΩ ΟΙ ΚΑΤΩΘΙ ΤΑΜΕΙΑΚΕΣ ΡΟΕΣ ΕΝΌΣ ΣΧΕΔΙΟΥ ΕΠΕΝΔΥΣΗΣ ΓΙΑ 5 ΧΡΟΝΙΑ</t>
  </si>
  <si>
    <t>m</t>
  </si>
  <si>
    <t>ΠΕΡΙΟΔΟΥΣ ΑΝΑΤΟΚΙΣΜΟΥ ΜΕΣΑ ΣΤΟ ΕΤΟΣ</t>
  </si>
  <si>
    <t>ΕΞΑΜΗΝΙΑΙΟΣ ΑΝΑΤΟΚΙΣΜΟΣ</t>
  </si>
  <si>
    <t>ΤΕΤΡΑΜΗΝΙΑΙΟ ΑΝΑΤΟΚΙΣΜΟ</t>
  </si>
  <si>
    <t>"12/4</t>
  </si>
  <si>
    <t xml:space="preserve">ΤΡΙΜΗΝΙΑΙΟ </t>
  </si>
  <si>
    <t>ΜΗΝΙΑΙΟ</t>
  </si>
  <si>
    <t>ΕΒΔΟΜΑΔΙΑΙΟ</t>
  </si>
  <si>
    <t>ΗΜΕΡΙΣΙΟ</t>
  </si>
  <si>
    <t>ΕΜΠΟΡΙΚΕΣ ΗΜΕΡΕΣ ΕΤΟΥΣ</t>
  </si>
  <si>
    <t>ΩΡΙΑΙΟΣ</t>
  </si>
  <si>
    <t>ΛΕΠΤΟ</t>
  </si>
  <si>
    <t>ΔΕΥΤΕΡΟΛΕΠΤΟ</t>
  </si>
  <si>
    <r>
      <t>Κn = K0*(1+i/m)</t>
    </r>
    <r>
      <rPr>
        <b/>
        <vertAlign val="superscript"/>
        <sz val="16"/>
        <color theme="1"/>
        <rFont val="Calibri"/>
        <family val="2"/>
        <charset val="161"/>
        <scheme val="minor"/>
      </rPr>
      <t>n*m</t>
    </r>
  </si>
  <si>
    <t>m=</t>
  </si>
  <si>
    <t>ΔΙΑΡΚΗΣ ΕΚΤΟΚΙΣΜΟΣ</t>
  </si>
  <si>
    <r>
      <t>Κn = K0*e</t>
    </r>
    <r>
      <rPr>
        <b/>
        <vertAlign val="superscript"/>
        <sz val="16"/>
        <color theme="1"/>
        <rFont val="Calibri"/>
        <family val="2"/>
        <charset val="161"/>
        <scheme val="minor"/>
      </rPr>
      <t>i*n</t>
    </r>
  </si>
  <si>
    <r>
      <t>Κn = K0*(1+i)</t>
    </r>
    <r>
      <rPr>
        <b/>
        <vertAlign val="superscript"/>
        <sz val="16"/>
        <color theme="1"/>
        <rFont val="Calibri"/>
        <family val="2"/>
        <charset val="161"/>
        <scheme val="minor"/>
      </rPr>
      <t>n</t>
    </r>
  </si>
  <si>
    <r>
      <t>K0= Κn* (1 /(1+i)</t>
    </r>
    <r>
      <rPr>
        <b/>
        <vertAlign val="superscript"/>
        <sz val="16"/>
        <color theme="1"/>
        <rFont val="Calibri"/>
        <family val="2"/>
        <charset val="161"/>
        <scheme val="minor"/>
      </rPr>
      <t>n</t>
    </r>
    <r>
      <rPr>
        <b/>
        <sz val="16"/>
        <color theme="1"/>
        <rFont val="Calibri"/>
        <family val="2"/>
        <charset val="161"/>
        <scheme val="minor"/>
      </rPr>
      <t xml:space="preserve"> )</t>
    </r>
  </si>
  <si>
    <t>ΑΠΛΟΣ ΕΚΤΟΚΙΣΜΟΣ</t>
  </si>
  <si>
    <t>ΕΤΗΣΙΟΣ ΑΝΑΤΟΚΙΣΜΟΣ</t>
  </si>
  <si>
    <t>ΑΝΑΤΟΚΙΣΜΟΣ Μ</t>
  </si>
  <si>
    <t>ΠΡΑΓΜΑΤΙΚΟ ΕΠΙΤΟΚΙΟ</t>
  </si>
  <si>
    <r>
      <t>1+ ir= (1+ i/m)</t>
    </r>
    <r>
      <rPr>
        <b/>
        <vertAlign val="superscript"/>
        <sz val="16"/>
        <color theme="1"/>
        <rFont val="Calibri"/>
        <family val="2"/>
        <charset val="161"/>
        <scheme val="minor"/>
      </rPr>
      <t>m</t>
    </r>
  </si>
  <si>
    <r>
      <t>ir= (1+ i/m)</t>
    </r>
    <r>
      <rPr>
        <b/>
        <vertAlign val="superscript"/>
        <sz val="16"/>
        <color theme="1"/>
        <rFont val="Calibri"/>
        <family val="2"/>
        <charset val="161"/>
        <scheme val="minor"/>
      </rPr>
      <t xml:space="preserve">m </t>
    </r>
    <r>
      <rPr>
        <b/>
        <sz val="16"/>
        <color theme="1"/>
        <rFont val="Calibri"/>
        <family val="2"/>
        <charset val="161"/>
        <scheme val="minor"/>
      </rPr>
      <t>-1</t>
    </r>
  </si>
  <si>
    <t>ΤΥΠΟΣ ΠΡΑΓΜΑΤΙΚΟΥ ΕΠΙΤΟΚΙΟΥ</t>
  </si>
  <si>
    <t>i</t>
  </si>
  <si>
    <t>ir</t>
  </si>
  <si>
    <t>ΔΙΑΡΚΗ ΑΝΑΤΟΚΙΣΜΟΣ</t>
  </si>
  <si>
    <t>ΠΕΡΙΟΔΟΣ m</t>
  </si>
  <si>
    <t>ΔΟΣΗ Α</t>
  </si>
  <si>
    <t>ΕΠΙΤΟΚΙΟ i</t>
  </si>
  <si>
    <t>ΧΡΟΝΟΣ n</t>
  </si>
  <si>
    <t>A</t>
  </si>
  <si>
    <t>FV</t>
  </si>
  <si>
    <t>A*(</t>
  </si>
  <si>
    <t>1)</t>
  </si>
  <si>
    <t>R</t>
  </si>
  <si>
    <t>(1+i)</t>
  </si>
  <si>
    <t>FV=A*(1+R+R^2+R^3+R^4+R^5)</t>
  </si>
  <si>
    <r>
      <t>A*(1+i)</t>
    </r>
    <r>
      <rPr>
        <vertAlign val="superscript"/>
        <sz val="18"/>
        <color theme="1"/>
        <rFont val="Calibri"/>
        <family val="2"/>
        <charset val="161"/>
        <scheme val="minor"/>
      </rPr>
      <t>5</t>
    </r>
  </si>
  <si>
    <r>
      <t>A*(1+i)</t>
    </r>
    <r>
      <rPr>
        <vertAlign val="superscript"/>
        <sz val="18"/>
        <color theme="1"/>
        <rFont val="Calibri"/>
        <family val="2"/>
        <charset val="161"/>
        <scheme val="minor"/>
      </rPr>
      <t>4</t>
    </r>
  </si>
  <si>
    <r>
      <t>A*(1+i)</t>
    </r>
    <r>
      <rPr>
        <vertAlign val="superscript"/>
        <sz val="18"/>
        <color theme="1"/>
        <rFont val="Calibri"/>
        <family val="2"/>
        <charset val="161"/>
        <scheme val="minor"/>
      </rPr>
      <t>3</t>
    </r>
  </si>
  <si>
    <r>
      <t>A*(1+i)</t>
    </r>
    <r>
      <rPr>
        <vertAlign val="superscript"/>
        <sz val="18"/>
        <color theme="1"/>
        <rFont val="Calibri"/>
        <family val="2"/>
        <charset val="161"/>
        <scheme val="minor"/>
      </rPr>
      <t>2</t>
    </r>
  </si>
  <si>
    <r>
      <t>A*(1+i)</t>
    </r>
    <r>
      <rPr>
        <vertAlign val="superscript"/>
        <sz val="18"/>
        <color theme="1"/>
        <rFont val="Calibri"/>
        <family val="2"/>
        <charset val="161"/>
        <scheme val="minor"/>
      </rPr>
      <t>1</t>
    </r>
  </si>
  <si>
    <r>
      <t>(1+i)</t>
    </r>
    <r>
      <rPr>
        <b/>
        <vertAlign val="superscript"/>
        <sz val="18"/>
        <color theme="1"/>
        <rFont val="Calibri"/>
        <family val="2"/>
        <charset val="161"/>
        <scheme val="minor"/>
      </rPr>
      <t>5</t>
    </r>
    <r>
      <rPr>
        <b/>
        <sz val="18"/>
        <color theme="1"/>
        <rFont val="Calibri"/>
        <family val="2"/>
        <charset val="161"/>
        <scheme val="minor"/>
      </rPr>
      <t>+</t>
    </r>
  </si>
  <si>
    <r>
      <t>(1+i)</t>
    </r>
    <r>
      <rPr>
        <b/>
        <vertAlign val="superscript"/>
        <sz val="18"/>
        <color theme="1"/>
        <rFont val="Calibri"/>
        <family val="2"/>
        <charset val="161"/>
        <scheme val="minor"/>
      </rPr>
      <t>4</t>
    </r>
    <r>
      <rPr>
        <b/>
        <sz val="18"/>
        <color theme="1"/>
        <rFont val="Calibri"/>
        <family val="2"/>
        <charset val="161"/>
        <scheme val="minor"/>
      </rPr>
      <t>+</t>
    </r>
  </si>
  <si>
    <r>
      <t>(1+i)</t>
    </r>
    <r>
      <rPr>
        <b/>
        <vertAlign val="superscript"/>
        <sz val="18"/>
        <color theme="1"/>
        <rFont val="Calibri"/>
        <family val="2"/>
        <charset val="161"/>
        <scheme val="minor"/>
      </rPr>
      <t>3</t>
    </r>
    <r>
      <rPr>
        <b/>
        <sz val="18"/>
        <color theme="1"/>
        <rFont val="Calibri"/>
        <family val="2"/>
        <charset val="161"/>
        <scheme val="minor"/>
      </rPr>
      <t>+</t>
    </r>
  </si>
  <si>
    <r>
      <t>(1+i)</t>
    </r>
    <r>
      <rPr>
        <b/>
        <vertAlign val="superscript"/>
        <sz val="18"/>
        <color theme="1"/>
        <rFont val="Calibri"/>
        <family val="2"/>
        <charset val="161"/>
        <scheme val="minor"/>
      </rPr>
      <t>2</t>
    </r>
    <r>
      <rPr>
        <b/>
        <sz val="18"/>
        <color theme="1"/>
        <rFont val="Calibri"/>
        <family val="2"/>
        <charset val="161"/>
        <scheme val="minor"/>
      </rPr>
      <t>+</t>
    </r>
  </si>
  <si>
    <r>
      <t>(1+i)</t>
    </r>
    <r>
      <rPr>
        <b/>
        <vertAlign val="superscript"/>
        <sz val="18"/>
        <color theme="1"/>
        <rFont val="Calibri"/>
        <family val="2"/>
        <charset val="161"/>
        <scheme val="minor"/>
      </rPr>
      <t>1</t>
    </r>
    <r>
      <rPr>
        <b/>
        <sz val="18"/>
        <color theme="1"/>
        <rFont val="Calibri"/>
        <family val="2"/>
        <charset val="161"/>
        <scheme val="minor"/>
      </rPr>
      <t>+</t>
    </r>
  </si>
  <si>
    <t>R^n -1</t>
  </si>
  <si>
    <t>R -1</t>
  </si>
  <si>
    <t>n</t>
  </si>
  <si>
    <t>PV</t>
  </si>
  <si>
    <t>A=</t>
  </si>
  <si>
    <t>ΕΤΟΣ</t>
  </si>
  <si>
    <t>ΠΡΟΕΞ. ΕΠΙΤΟΚΙΟ</t>
  </si>
  <si>
    <t>ΠΡΟΕΞ. ΤΑΜ. ΡΟΕΣ ΣΧΕΔΙΟΥ Α</t>
  </si>
  <si>
    <t>ΠΡΟΕΞ. ΤΑΜ. ΡΟΕΣ ΣΧΕΔΙΟΥ Β</t>
  </si>
  <si>
    <t>NPV=</t>
  </si>
  <si>
    <t>Σ [CFt/(1+i)^t]</t>
  </si>
  <si>
    <t>i=</t>
  </si>
  <si>
    <t>payback period</t>
  </si>
  <si>
    <t>IRR=</t>
  </si>
  <si>
    <r>
      <t>FV= A*((1+i)</t>
    </r>
    <r>
      <rPr>
        <b/>
        <vertAlign val="superscript"/>
        <sz val="18"/>
        <color theme="1"/>
        <rFont val="Calibri"/>
        <family val="2"/>
        <charset val="161"/>
        <scheme val="minor"/>
      </rPr>
      <t xml:space="preserve">n </t>
    </r>
    <r>
      <rPr>
        <b/>
        <sz val="18"/>
        <color theme="1"/>
        <rFont val="Calibri"/>
        <family val="2"/>
        <charset val="161"/>
        <scheme val="minor"/>
      </rPr>
      <t>-1)/((1+i)-1)</t>
    </r>
  </si>
  <si>
    <r>
      <t>FV= A*((1+i)</t>
    </r>
    <r>
      <rPr>
        <b/>
        <vertAlign val="superscript"/>
        <sz val="18"/>
        <color theme="1"/>
        <rFont val="Calibri"/>
        <family val="2"/>
        <charset val="161"/>
        <scheme val="minor"/>
      </rPr>
      <t xml:space="preserve">n </t>
    </r>
    <r>
      <rPr>
        <b/>
        <sz val="18"/>
        <color theme="1"/>
        <rFont val="Calibri"/>
        <family val="2"/>
        <charset val="161"/>
        <scheme val="minor"/>
      </rPr>
      <t>-1)/i )</t>
    </r>
  </si>
  <si>
    <r>
      <t>PV= A*((1+i)^</t>
    </r>
    <r>
      <rPr>
        <b/>
        <vertAlign val="superscript"/>
        <sz val="18"/>
        <color theme="1"/>
        <rFont val="Calibri"/>
        <family val="2"/>
        <charset val="161"/>
        <scheme val="minor"/>
      </rPr>
      <t xml:space="preserve">n </t>
    </r>
    <r>
      <rPr>
        <b/>
        <sz val="18"/>
        <color theme="1"/>
        <rFont val="Calibri"/>
        <family val="2"/>
        <charset val="161"/>
        <scheme val="minor"/>
      </rPr>
      <t>-1)/i*(1+i)^n )</t>
    </r>
  </si>
  <si>
    <t xml:space="preserve">ΑΓΟΡΑΖΕΤΕ ΑΥΤΟΚΙΝΗΤΟ ΕΝΑΝΤΙ ΠΟΣΟΥ </t>
  </si>
  <si>
    <t>ΜΕ ΔΟΣΕΙΣ ΜΗΝΙΑΙΕΣ ΓΙΑ 3 ΕΤΗ</t>
  </si>
  <si>
    <t>ΤΟ ΕΠΙΤΟΚΙΟ ΕΊΝΑΙ 5% ΠΟΙΑ Η ΜΗΝΙΑΙΑ ΔΟΣΗ</t>
  </si>
  <si>
    <t>ΕΊΝΑΙ ΡΑΝΤΑ</t>
  </si>
  <si>
    <t>ΝΑΙ</t>
  </si>
  <si>
    <t>ΤΙ ΡΑΝΤΑ ΕΊΝΑΙ</t>
  </si>
  <si>
    <t>ΠΑΡΟΥΣΑ</t>
  </si>
  <si>
    <t>PV=A*[(1+i)^n  - 1]/[i*(1+i)^n]</t>
  </si>
  <si>
    <t>PV=</t>
  </si>
  <si>
    <t>n=</t>
  </si>
  <si>
    <t>[(1+i/m)^n*m  - 1]/[i/m*(1+i/m)^n*m]</t>
  </si>
  <si>
    <t>(1+i/m)^n*m</t>
  </si>
  <si>
    <t>A=PV/[(1+i)^n  - 1]/[i*(1+i)^n]</t>
  </si>
  <si>
    <t>FV=</t>
  </si>
  <si>
    <t>FV=A*[(1+i)^n  - 1]/i</t>
  </si>
  <si>
    <t>[(1+i/m)^n*m  - 1]/i/m</t>
  </si>
  <si>
    <t>ΤΑΜΕΙΑΚΕΣ ΡΟΕΣ ΣΧΕΔΙΟΥ Α</t>
  </si>
  <si>
    <t>ΤΑΜΕΙΑΚΕΣ ΡΟΕΣ ΣΧΕΔΙΟΥ Β</t>
  </si>
  <si>
    <t>ΤΑΜΕΙΑΚΕΣ ΡΟΕΣ ΣΧΕΔΙΟΥ Γ</t>
  </si>
  <si>
    <t>T= K0*i*n</t>
  </si>
  <si>
    <r>
      <t>Κn = K</t>
    </r>
    <r>
      <rPr>
        <b/>
        <vertAlign val="subscript"/>
        <sz val="16"/>
        <color theme="1"/>
        <rFont val="Calibri"/>
        <family val="2"/>
        <charset val="161"/>
        <scheme val="minor"/>
      </rPr>
      <t>0</t>
    </r>
    <r>
      <rPr>
        <b/>
        <sz val="16"/>
        <color theme="1"/>
        <rFont val="Calibri"/>
        <family val="2"/>
        <charset val="161"/>
        <scheme val="minor"/>
      </rPr>
      <t>+K0*i*n</t>
    </r>
  </si>
  <si>
    <r>
      <t>Κn = K</t>
    </r>
    <r>
      <rPr>
        <b/>
        <vertAlign val="subscript"/>
        <sz val="16"/>
        <color theme="1"/>
        <rFont val="Calibri"/>
        <family val="2"/>
        <charset val="161"/>
        <scheme val="minor"/>
      </rPr>
      <t>0</t>
    </r>
    <r>
      <rPr>
        <b/>
        <sz val="16"/>
        <color theme="1"/>
        <rFont val="Calibri"/>
        <family val="2"/>
        <charset val="161"/>
        <scheme val="minor"/>
      </rPr>
      <t>*(1+i*n)</t>
    </r>
  </si>
  <si>
    <r>
      <t>K</t>
    </r>
    <r>
      <rPr>
        <b/>
        <vertAlign val="subscript"/>
        <sz val="16"/>
        <color theme="1"/>
        <rFont val="Calibri"/>
        <family val="2"/>
        <charset val="161"/>
        <scheme val="minor"/>
      </rPr>
      <t>0</t>
    </r>
    <r>
      <rPr>
        <b/>
        <sz val="16"/>
        <color theme="1"/>
        <rFont val="Calibri"/>
        <family val="2"/>
        <charset val="161"/>
        <scheme val="minor"/>
      </rPr>
      <t>=Κn * 1/(1+i*n)</t>
    </r>
  </si>
  <si>
    <r>
      <t>K</t>
    </r>
    <r>
      <rPr>
        <b/>
        <vertAlign val="subscript"/>
        <sz val="16"/>
        <color theme="1"/>
        <rFont val="Calibri"/>
        <family val="2"/>
        <charset val="161"/>
        <scheme val="minor"/>
      </rPr>
      <t>0</t>
    </r>
    <r>
      <rPr>
        <b/>
        <sz val="16"/>
        <color theme="1"/>
        <rFont val="Calibri"/>
        <family val="2"/>
        <charset val="161"/>
        <scheme val="minor"/>
      </rPr>
      <t>=Κn * (1+i*n)</t>
    </r>
    <r>
      <rPr>
        <b/>
        <vertAlign val="superscript"/>
        <sz val="16"/>
        <color theme="1"/>
        <rFont val="Calibri"/>
        <family val="2"/>
        <charset val="161"/>
        <scheme val="minor"/>
      </rPr>
      <t>-1</t>
    </r>
  </si>
  <si>
    <t>(1+i*n)</t>
  </si>
  <si>
    <r>
      <t>(1+i*n)</t>
    </r>
    <r>
      <rPr>
        <b/>
        <vertAlign val="superscript"/>
        <sz val="16"/>
        <color theme="1"/>
        <rFont val="Calibri"/>
        <family val="2"/>
        <charset val="161"/>
        <scheme val="minor"/>
      </rPr>
      <t>-1</t>
    </r>
  </si>
  <si>
    <t>ΣΥΝΤΕΛΕΣΤΗΣ ΠΡΟΕΞΟΦΛΗΣΗΣ</t>
  </si>
  <si>
    <r>
      <t>Κn = K</t>
    </r>
    <r>
      <rPr>
        <vertAlign val="subscript"/>
        <sz val="16"/>
        <color theme="1"/>
        <rFont val="Calibri"/>
        <family val="2"/>
        <charset val="161"/>
        <scheme val="minor"/>
      </rPr>
      <t>0</t>
    </r>
    <r>
      <rPr>
        <sz val="16"/>
        <color theme="1"/>
        <rFont val="Calibri"/>
        <family val="2"/>
        <charset val="161"/>
        <scheme val="minor"/>
      </rPr>
      <t>*(1+i*n)</t>
    </r>
  </si>
  <si>
    <t>2,718281…..</t>
  </si>
  <si>
    <t>e=</t>
  </si>
  <si>
    <r>
      <t>ir= e</t>
    </r>
    <r>
      <rPr>
        <b/>
        <vertAlign val="superscript"/>
        <sz val="16"/>
        <color theme="1"/>
        <rFont val="Calibri"/>
        <family val="2"/>
        <charset val="161"/>
        <scheme val="minor"/>
      </rPr>
      <t xml:space="preserve">i </t>
    </r>
    <r>
      <rPr>
        <b/>
        <sz val="16"/>
        <color theme="1"/>
        <rFont val="Calibri"/>
        <family val="2"/>
        <charset val="161"/>
        <scheme val="minor"/>
      </rPr>
      <t>-1</t>
    </r>
  </si>
  <si>
    <t>Βαλλον</t>
  </si>
  <si>
    <t>τοκοι βαλλον</t>
  </si>
  <si>
    <t>χρεολύσιο</t>
  </si>
  <si>
    <t>υπολ κεφαλαιου</t>
  </si>
  <si>
    <t>τόκοι</t>
  </si>
  <si>
    <t>Δόση</t>
  </si>
  <si>
    <t>καθαρη ταμ</t>
  </si>
  <si>
    <t>Δόση Τοκοχρεολυτικου</t>
  </si>
  <si>
    <t>δοση</t>
  </si>
  <si>
    <t>καθ ταμ ροή</t>
  </si>
  <si>
    <t>υπολ δαν εκτος βαλλ</t>
  </si>
  <si>
    <t>έτη</t>
  </si>
  <si>
    <t>ενιαίο</t>
  </si>
  <si>
    <t>χρεολυτικο</t>
  </si>
  <si>
    <t>τόκος</t>
  </si>
  <si>
    <t>δόση</t>
  </si>
  <si>
    <t>Τοκοχρεολυτικό</t>
  </si>
  <si>
    <t xml:space="preserve">   (1+i)^n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</si>
</sst>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43" formatCode="_-* #,##0.00_-;\-* #,##0.00_-;_-* &quot;-&quot;??_-;_-@_-"/>
    <numFmt numFmtId="164" formatCode="_-* #,##0_-;\-* #,##0_-;_-* &quot;-&quot;??_-;_-@_-"/>
    <numFmt numFmtId="165" formatCode="0.00000%"/>
    <numFmt numFmtId="166" formatCode="0.000000%"/>
    <numFmt numFmtId="167" formatCode="_-* #,##0.000000_-;\-* #,##0.000000_-;_-* &quot;-&quot;??_-;_-@_-"/>
    <numFmt numFmtId="168" formatCode="_-* #,##0.0000000_-;\-* #,##0.0000000_-;_-* &quot;-&quot;??_-;_-@_-"/>
    <numFmt numFmtId="169" formatCode="_-* #,##0.00\ _€_-;\-* #,##0.00\ _€_-;_-* &quot;-&quot;??\ _€_-;_-@_-"/>
  </numFmts>
  <fonts count="1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vertAlign val="subscript"/>
      <sz val="16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vertAlign val="superscript"/>
      <sz val="16"/>
      <color theme="1"/>
      <name val="Calibri"/>
      <family val="2"/>
      <charset val="161"/>
      <scheme val="minor"/>
    </font>
    <font>
      <vertAlign val="superscript"/>
      <sz val="16"/>
      <color theme="1"/>
      <name val="Calibri"/>
      <family val="2"/>
      <charset val="161"/>
      <scheme val="minor"/>
    </font>
    <font>
      <b/>
      <vertAlign val="subscript"/>
      <sz val="16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vertAlign val="superscript"/>
      <sz val="18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vertAlign val="superscript"/>
      <sz val="18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9" fontId="2" fillId="0" borderId="0" xfId="0" applyNumberFormat="1" applyFont="1"/>
    <xf numFmtId="164" fontId="2" fillId="0" borderId="0" xfId="1" applyNumberFormat="1" applyFont="1"/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43" fontId="2" fillId="0" borderId="0" xfId="1" applyFont="1"/>
    <xf numFmtId="12" fontId="2" fillId="0" borderId="0" xfId="1" applyNumberFormat="1" applyFont="1"/>
    <xf numFmtId="1" fontId="2" fillId="0" borderId="0" xfId="0" applyNumberFormat="1" applyFont="1"/>
    <xf numFmtId="165" fontId="2" fillId="0" borderId="0" xfId="2" applyNumberFormat="1" applyFont="1"/>
    <xf numFmtId="166" fontId="2" fillId="0" borderId="0" xfId="2" applyNumberFormat="1" applyFont="1"/>
    <xf numFmtId="166" fontId="2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9" fontId="9" fillId="0" borderId="0" xfId="0" applyNumberFormat="1" applyFont="1"/>
    <xf numFmtId="43" fontId="9" fillId="0" borderId="0" xfId="1" applyFont="1"/>
    <xf numFmtId="43" fontId="11" fillId="0" borderId="0" xfId="1" applyFont="1"/>
    <xf numFmtId="9" fontId="9" fillId="0" borderId="0" xfId="1" applyNumberFormat="1" applyFont="1"/>
    <xf numFmtId="0" fontId="9" fillId="2" borderId="4" xfId="0" applyFont="1" applyFill="1" applyBorder="1"/>
    <xf numFmtId="43" fontId="9" fillId="2" borderId="5" xfId="1" applyFont="1" applyFill="1" applyBorder="1"/>
    <xf numFmtId="43" fontId="9" fillId="2" borderId="6" xfId="1" applyFont="1" applyFill="1" applyBorder="1"/>
    <xf numFmtId="0" fontId="9" fillId="0" borderId="3" xfId="0" applyFont="1" applyBorder="1"/>
    <xf numFmtId="43" fontId="9" fillId="0" borderId="3" xfId="1" applyFont="1" applyBorder="1"/>
    <xf numFmtId="0" fontId="9" fillId="0" borderId="2" xfId="0" applyFont="1" applyBorder="1"/>
    <xf numFmtId="43" fontId="9" fillId="0" borderId="2" xfId="1" applyFont="1" applyBorder="1"/>
    <xf numFmtId="43" fontId="9" fillId="0" borderId="7" xfId="1" applyFont="1" applyBorder="1"/>
    <xf numFmtId="43" fontId="9" fillId="0" borderId="8" xfId="1" applyFont="1" applyBorder="1"/>
    <xf numFmtId="43" fontId="9" fillId="0" borderId="9" xfId="1" applyFont="1" applyBorder="1"/>
    <xf numFmtId="8" fontId="9" fillId="0" borderId="0" xfId="0" applyNumberFormat="1" applyFont="1"/>
    <xf numFmtId="8" fontId="9" fillId="0" borderId="0" xfId="1" applyNumberFormat="1" applyFont="1"/>
    <xf numFmtId="0" fontId="11" fillId="3" borderId="0" xfId="0" applyFont="1" applyFill="1"/>
    <xf numFmtId="164" fontId="9" fillId="3" borderId="0" xfId="1" applyNumberFormat="1" applyFont="1" applyFill="1"/>
    <xf numFmtId="43" fontId="9" fillId="3" borderId="0" xfId="1" applyFont="1" applyFill="1"/>
    <xf numFmtId="0" fontId="9" fillId="4" borderId="0" xfId="0" applyFont="1" applyFill="1"/>
    <xf numFmtId="10" fontId="9" fillId="4" borderId="0" xfId="2" applyNumberFormat="1" applyFont="1" applyFill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3" xfId="0" applyFont="1" applyBorder="1"/>
    <xf numFmtId="0" fontId="4" fillId="0" borderId="14" xfId="0" applyFont="1" applyBorder="1" applyAlignment="1">
      <alignment horizontal="center"/>
    </xf>
    <xf numFmtId="0" fontId="2" fillId="0" borderId="19" xfId="0" applyFont="1" applyBorder="1"/>
    <xf numFmtId="0" fontId="4" fillId="0" borderId="20" xfId="0" applyFont="1" applyBorder="1" applyAlignment="1">
      <alignment horizontal="center"/>
    </xf>
    <xf numFmtId="0" fontId="2" fillId="0" borderId="21" xfId="0" applyFont="1" applyBorder="1"/>
    <xf numFmtId="0" fontId="4" fillId="0" borderId="12" xfId="0" applyFont="1" applyBorder="1" applyAlignment="1">
      <alignment horizontal="center"/>
    </xf>
    <xf numFmtId="0" fontId="2" fillId="0" borderId="14" xfId="0" applyFont="1" applyBorder="1"/>
    <xf numFmtId="0" fontId="4" fillId="0" borderId="22" xfId="0" applyFont="1" applyBorder="1" applyAlignment="1">
      <alignment horizontal="center"/>
    </xf>
    <xf numFmtId="0" fontId="2" fillId="0" borderId="22" xfId="0" applyFont="1" applyBorder="1"/>
    <xf numFmtId="0" fontId="2" fillId="0" borderId="15" xfId="0" applyFont="1" applyBorder="1"/>
    <xf numFmtId="0" fontId="4" fillId="0" borderId="10" xfId="0" applyFont="1" applyBorder="1" applyAlignment="1">
      <alignment horizontal="center"/>
    </xf>
    <xf numFmtId="0" fontId="2" fillId="5" borderId="2" xfId="0" applyFont="1" applyFill="1" applyBorder="1" applyAlignment="1">
      <alignment horizontal="right"/>
    </xf>
    <xf numFmtId="0" fontId="2" fillId="5" borderId="2" xfId="0" applyFont="1" applyFill="1" applyBorder="1"/>
    <xf numFmtId="164" fontId="2" fillId="0" borderId="2" xfId="1" applyNumberFormat="1" applyFont="1" applyBorder="1"/>
    <xf numFmtId="0" fontId="2" fillId="0" borderId="2" xfId="0" applyFont="1" applyBorder="1"/>
    <xf numFmtId="167" fontId="2" fillId="0" borderId="0" xfId="1" applyNumberFormat="1" applyFont="1"/>
    <xf numFmtId="168" fontId="2" fillId="0" borderId="0" xfId="1" applyNumberFormat="1" applyFont="1"/>
    <xf numFmtId="0" fontId="2" fillId="0" borderId="9" xfId="0" applyFont="1" applyBorder="1"/>
    <xf numFmtId="0" fontId="2" fillId="0" borderId="7" xfId="0" applyFont="1" applyBorder="1" applyAlignment="1">
      <alignment horizontal="right"/>
    </xf>
    <xf numFmtId="169" fontId="2" fillId="0" borderId="0" xfId="0" applyNumberFormat="1" applyFont="1"/>
    <xf numFmtId="164" fontId="4" fillId="0" borderId="0" xfId="1" applyNumberFormat="1" applyFont="1"/>
    <xf numFmtId="10" fontId="9" fillId="3" borderId="0" xfId="2" applyNumberFormat="1" applyFont="1" applyFill="1"/>
    <xf numFmtId="169" fontId="9" fillId="0" borderId="0" xfId="0" applyNumberFormat="1" applyFont="1"/>
    <xf numFmtId="10" fontId="9" fillId="0" borderId="0" xfId="0" applyNumberFormat="1" applyFont="1"/>
    <xf numFmtId="43" fontId="0" fillId="0" borderId="0" xfId="1" applyFont="1"/>
    <xf numFmtId="9" fontId="0" fillId="0" borderId="0" xfId="0" applyNumberFormat="1"/>
    <xf numFmtId="169" fontId="0" fillId="0" borderId="0" xfId="0" applyNumberFormat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31623-ACB0-4C19-96E9-40F2CD9E1895}">
  <dimension ref="A1:D30"/>
  <sheetViews>
    <sheetView topLeftCell="A18" zoomScale="90" zoomScaleNormal="90" workbookViewId="0">
      <selection activeCell="B30" sqref="B30"/>
    </sheetView>
  </sheetViews>
  <sheetFormatPr baseColWidth="10" defaultColWidth="9.1640625" defaultRowHeight="21" x14ac:dyDescent="0.25"/>
  <cols>
    <col min="1" max="1" width="70.6640625" style="1" bestFit="1" customWidth="1"/>
    <col min="2" max="2" width="36.5" style="1" bestFit="1" customWidth="1"/>
    <col min="3" max="3" width="22.5" style="1" bestFit="1" customWidth="1"/>
    <col min="4" max="4" width="11.5" style="1" bestFit="1" customWidth="1"/>
    <col min="5" max="16384" width="9.1640625" style="1"/>
  </cols>
  <sheetData>
    <row r="1" spans="1:4" x14ac:dyDescent="0.25">
      <c r="A1" s="1" t="s">
        <v>0</v>
      </c>
    </row>
    <row r="2" spans="1:4" x14ac:dyDescent="0.25">
      <c r="A2" s="1" t="s">
        <v>1</v>
      </c>
      <c r="B2" s="9">
        <v>15000</v>
      </c>
    </row>
    <row r="3" spans="1:4" x14ac:dyDescent="0.25">
      <c r="A3" s="1" t="s">
        <v>2</v>
      </c>
      <c r="B3" s="2">
        <v>0.06</v>
      </c>
    </row>
    <row r="4" spans="1:4" x14ac:dyDescent="0.25">
      <c r="A4" s="1" t="s">
        <v>3</v>
      </c>
      <c r="B4" s="3">
        <v>2</v>
      </c>
    </row>
    <row r="5" spans="1:4" x14ac:dyDescent="0.25">
      <c r="A5" s="1" t="s">
        <v>0</v>
      </c>
      <c r="B5" s="4">
        <f>+B2*B3*B4</f>
        <v>1800</v>
      </c>
      <c r="D5" s="4">
        <f>+B2+B5</f>
        <v>16800</v>
      </c>
    </row>
    <row r="7" spans="1:4" x14ac:dyDescent="0.25">
      <c r="A7" s="1" t="s">
        <v>4</v>
      </c>
    </row>
    <row r="8" spans="1:4" ht="25" x14ac:dyDescent="0.35">
      <c r="A8" s="1" t="s">
        <v>8</v>
      </c>
    </row>
    <row r="9" spans="1:4" x14ac:dyDescent="0.25">
      <c r="A9" s="1" t="s">
        <v>117</v>
      </c>
    </row>
    <row r="11" spans="1:4" ht="26" thickBot="1" x14ac:dyDescent="0.4">
      <c r="A11" s="7" t="s">
        <v>118</v>
      </c>
    </row>
    <row r="12" spans="1:4" ht="26" thickBot="1" x14ac:dyDescent="0.4">
      <c r="A12" s="43" t="s">
        <v>119</v>
      </c>
      <c r="B12" s="1" t="s">
        <v>5</v>
      </c>
    </row>
    <row r="14" spans="1:4" x14ac:dyDescent="0.25">
      <c r="A14" s="1" t="s">
        <v>1</v>
      </c>
      <c r="B14" s="9">
        <f>+B2</f>
        <v>15000</v>
      </c>
    </row>
    <row r="15" spans="1:4" x14ac:dyDescent="0.25">
      <c r="A15" s="1" t="s">
        <v>2</v>
      </c>
      <c r="B15" s="2">
        <f>+B3</f>
        <v>0.06</v>
      </c>
    </row>
    <row r="16" spans="1:4" x14ac:dyDescent="0.25">
      <c r="A16" s="1" t="s">
        <v>3</v>
      </c>
      <c r="B16" s="1">
        <f>+B4</f>
        <v>2</v>
      </c>
    </row>
    <row r="17" spans="1:4" x14ac:dyDescent="0.25">
      <c r="A17" s="1" t="s">
        <v>6</v>
      </c>
      <c r="B17" s="1">
        <f>+B14*(1+B15*B16)</f>
        <v>16800</v>
      </c>
      <c r="C17" s="65">
        <f>+B17-B14</f>
        <v>1800</v>
      </c>
    </row>
    <row r="19" spans="1:4" ht="26" thickBot="1" x14ac:dyDescent="0.4">
      <c r="A19" s="7" t="s">
        <v>120</v>
      </c>
    </row>
    <row r="20" spans="1:4" ht="26" x14ac:dyDescent="0.35">
      <c r="A20" s="7" t="s">
        <v>121</v>
      </c>
      <c r="B20" s="44">
        <v>1</v>
      </c>
      <c r="C20" s="73" t="s">
        <v>124</v>
      </c>
    </row>
    <row r="21" spans="1:4" x14ac:dyDescent="0.25">
      <c r="B21" s="45" t="s">
        <v>122</v>
      </c>
      <c r="C21" s="74"/>
    </row>
    <row r="22" spans="1:4" x14ac:dyDescent="0.25">
      <c r="B22" s="46"/>
      <c r="C22" s="74"/>
    </row>
    <row r="23" spans="1:4" ht="25" thickBot="1" x14ac:dyDescent="0.3">
      <c r="B23" s="47" t="s">
        <v>123</v>
      </c>
      <c r="C23" s="75"/>
    </row>
    <row r="25" spans="1:4" x14ac:dyDescent="0.25">
      <c r="A25" s="1" t="s">
        <v>2</v>
      </c>
      <c r="B25" s="2">
        <f>+B15</f>
        <v>0.06</v>
      </c>
      <c r="C25" s="1">
        <v>0.06</v>
      </c>
      <c r="D25" s="1" t="s">
        <v>9</v>
      </c>
    </row>
    <row r="26" spans="1:4" x14ac:dyDescent="0.25">
      <c r="A26" s="1" t="s">
        <v>3</v>
      </c>
      <c r="B26" s="1">
        <f>+B16</f>
        <v>2</v>
      </c>
    </row>
    <row r="27" spans="1:4" x14ac:dyDescent="0.25">
      <c r="A27" s="1" t="s">
        <v>6</v>
      </c>
      <c r="B27" s="1">
        <f>+B17</f>
        <v>16800</v>
      </c>
    </row>
    <row r="29" spans="1:4" x14ac:dyDescent="0.25">
      <c r="A29" s="1" t="s">
        <v>10</v>
      </c>
      <c r="B29" s="1">
        <f>+B27*(1/(1+B25*B26))</f>
        <v>14999.999999999998</v>
      </c>
    </row>
    <row r="30" spans="1:4" x14ac:dyDescent="0.25">
      <c r="A30" s="1" t="s">
        <v>10</v>
      </c>
      <c r="B30" s="1">
        <f>+B27*(1+B26*B25)^(-1)</f>
        <v>14999.999999999998</v>
      </c>
    </row>
  </sheetData>
  <mergeCells count="1">
    <mergeCell ref="C20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1434F-57C5-463C-B98B-95296DDAFDE1}">
  <dimension ref="B1:H35"/>
  <sheetViews>
    <sheetView topLeftCell="A20" zoomScaleNormal="100" workbookViewId="0">
      <selection activeCell="D34" sqref="D34"/>
    </sheetView>
  </sheetViews>
  <sheetFormatPr baseColWidth="10" defaultColWidth="9.1640625" defaultRowHeight="21" x14ac:dyDescent="0.25"/>
  <cols>
    <col min="1" max="1" width="9.1640625" style="1"/>
    <col min="2" max="2" width="33" style="1" bestFit="1" customWidth="1"/>
    <col min="3" max="3" width="27" style="1" customWidth="1"/>
    <col min="4" max="4" width="24.83203125" style="1" bestFit="1" customWidth="1"/>
    <col min="5" max="5" width="26" style="1" bestFit="1" customWidth="1"/>
    <col min="6" max="8" width="18.83203125" style="1" bestFit="1" customWidth="1"/>
    <col min="9" max="16384" width="9.1640625" style="1"/>
  </cols>
  <sheetData>
    <row r="1" spans="2:6" ht="25" x14ac:dyDescent="0.35">
      <c r="B1" s="1" t="s">
        <v>125</v>
      </c>
    </row>
    <row r="2" spans="2:6" ht="25" x14ac:dyDescent="0.35">
      <c r="B2" s="1" t="s">
        <v>11</v>
      </c>
      <c r="C2" s="6" t="s">
        <v>12</v>
      </c>
    </row>
    <row r="3" spans="2:6" ht="24" x14ac:dyDescent="0.25">
      <c r="B3" s="1" t="s">
        <v>13</v>
      </c>
      <c r="C3" s="6" t="s">
        <v>14</v>
      </c>
      <c r="D3" s="6" t="s">
        <v>17</v>
      </c>
      <c r="E3" s="6" t="s">
        <v>18</v>
      </c>
    </row>
    <row r="4" spans="2:6" ht="24" x14ac:dyDescent="0.25">
      <c r="B4" s="1" t="s">
        <v>15</v>
      </c>
      <c r="C4" s="6" t="s">
        <v>16</v>
      </c>
      <c r="E4" s="6" t="s">
        <v>19</v>
      </c>
      <c r="F4" s="6" t="s">
        <v>20</v>
      </c>
    </row>
    <row r="7" spans="2:6" ht="24" x14ac:dyDescent="0.25">
      <c r="B7" s="5" t="s">
        <v>48</v>
      </c>
      <c r="C7" s="1" t="s">
        <v>22</v>
      </c>
    </row>
    <row r="9" spans="2:6" x14ac:dyDescent="0.25">
      <c r="B9" s="1" t="s">
        <v>10</v>
      </c>
      <c r="C9" s="9">
        <v>15000</v>
      </c>
    </row>
    <row r="10" spans="2:6" x14ac:dyDescent="0.25">
      <c r="B10" s="1" t="s">
        <v>2</v>
      </c>
      <c r="C10" s="2">
        <v>0.06</v>
      </c>
    </row>
    <row r="11" spans="2:6" x14ac:dyDescent="0.25">
      <c r="B11" s="1" t="s">
        <v>3</v>
      </c>
      <c r="C11" s="1">
        <v>2</v>
      </c>
    </row>
    <row r="12" spans="2:6" x14ac:dyDescent="0.25">
      <c r="B12" s="1" t="s">
        <v>23</v>
      </c>
      <c r="C12" s="1">
        <f>+C9*(1+C10)^C11</f>
        <v>16854.000000000004</v>
      </c>
      <c r="D12" s="1">
        <f>+C12-C9</f>
        <v>1854.0000000000036</v>
      </c>
    </row>
    <row r="14" spans="2:6" ht="24" x14ac:dyDescent="0.25">
      <c r="B14" s="6" t="s">
        <v>24</v>
      </c>
      <c r="C14" s="1" t="s">
        <v>25</v>
      </c>
    </row>
    <row r="16" spans="2:6" ht="25" thickBot="1" x14ac:dyDescent="0.3">
      <c r="B16" s="5" t="s">
        <v>49</v>
      </c>
    </row>
    <row r="17" spans="2:8" ht="24" x14ac:dyDescent="0.25">
      <c r="B17" s="48" t="s">
        <v>26</v>
      </c>
      <c r="C17" s="49">
        <v>1</v>
      </c>
      <c r="D17" s="50" t="s">
        <v>28</v>
      </c>
      <c r="E17" s="51" t="s">
        <v>29</v>
      </c>
    </row>
    <row r="18" spans="2:8" ht="25" thickBot="1" x14ac:dyDescent="0.3">
      <c r="B18" s="52"/>
      <c r="C18" s="53" t="s">
        <v>27</v>
      </c>
      <c r="D18" s="54" t="s">
        <v>7</v>
      </c>
      <c r="E18" s="55"/>
    </row>
    <row r="22" spans="2:8" x14ac:dyDescent="0.25">
      <c r="B22" s="1" t="s">
        <v>2</v>
      </c>
      <c r="C22" s="2">
        <f>+C10</f>
        <v>0.06</v>
      </c>
    </row>
    <row r="23" spans="2:8" x14ac:dyDescent="0.25">
      <c r="B23" s="1" t="s">
        <v>3</v>
      </c>
      <c r="C23" s="1">
        <f>+C11</f>
        <v>2</v>
      </c>
    </row>
    <row r="24" spans="2:8" x14ac:dyDescent="0.25">
      <c r="B24" s="1" t="s">
        <v>23</v>
      </c>
      <c r="C24" s="1">
        <f>+C12</f>
        <v>16854.000000000004</v>
      </c>
    </row>
    <row r="26" spans="2:8" x14ac:dyDescent="0.25">
      <c r="B26" s="1" t="s">
        <v>10</v>
      </c>
      <c r="C26" s="1">
        <f>+C24*(1/(1+C22)^C23)</f>
        <v>15000.000000000002</v>
      </c>
    </row>
    <row r="28" spans="2:8" x14ac:dyDescent="0.25">
      <c r="B28" s="1" t="s">
        <v>30</v>
      </c>
    </row>
    <row r="30" spans="2:8" x14ac:dyDescent="0.25">
      <c r="B30" s="8" t="s">
        <v>3</v>
      </c>
      <c r="C30" s="1">
        <v>0</v>
      </c>
      <c r="D30" s="1">
        <v>1</v>
      </c>
      <c r="E30" s="1">
        <v>2</v>
      </c>
      <c r="F30" s="1">
        <v>3</v>
      </c>
      <c r="G30" s="1">
        <v>4</v>
      </c>
      <c r="H30" s="1">
        <v>5</v>
      </c>
    </row>
    <row r="31" spans="2:8" s="3" customFormat="1" x14ac:dyDescent="0.25">
      <c r="B31" s="66">
        <f>SUM(C31:H31)</f>
        <v>10000</v>
      </c>
      <c r="C31" s="3">
        <v>-15000</v>
      </c>
      <c r="D31" s="3">
        <v>-5000</v>
      </c>
      <c r="E31" s="3">
        <v>10000</v>
      </c>
      <c r="F31" s="3">
        <v>12000</v>
      </c>
      <c r="G31" s="3">
        <v>6000</v>
      </c>
      <c r="H31" s="3">
        <v>2000</v>
      </c>
    </row>
    <row r="33" spans="2:8" x14ac:dyDescent="0.25">
      <c r="B33" s="2">
        <v>0.1</v>
      </c>
      <c r="C33" s="1">
        <f t="shared" ref="C33:H33" si="0">+C31/((1+$B$33)^C30)</f>
        <v>-15000</v>
      </c>
      <c r="D33" s="1">
        <f>+D31/((1+$B$33)^D30)</f>
        <v>-4545.454545454545</v>
      </c>
      <c r="E33" s="1">
        <f>+E31/((1+$B$33)^E30)</f>
        <v>8264.4628099173533</v>
      </c>
      <c r="F33" s="1">
        <f t="shared" si="0"/>
        <v>9015.77761081893</v>
      </c>
      <c r="G33" s="1">
        <f t="shared" si="0"/>
        <v>4098.0807321904231</v>
      </c>
      <c r="H33" s="1">
        <f t="shared" si="0"/>
        <v>1241.8426461183099</v>
      </c>
    </row>
    <row r="35" spans="2:8" x14ac:dyDescent="0.25">
      <c r="B35" s="9">
        <f>SUM(C33:H33)</f>
        <v>3074.7092535904721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CF0E-D6AF-46BC-9BA0-B0A316D8BC87}">
  <dimension ref="A1:E46"/>
  <sheetViews>
    <sheetView topLeftCell="A35" zoomScale="90" zoomScaleNormal="90" workbookViewId="0">
      <selection activeCell="B47" sqref="B47"/>
    </sheetView>
  </sheetViews>
  <sheetFormatPr baseColWidth="10" defaultColWidth="9.1640625" defaultRowHeight="21" x14ac:dyDescent="0.25"/>
  <cols>
    <col min="1" max="1" width="43" style="1" bestFit="1" customWidth="1"/>
    <col min="2" max="2" width="56.6640625" style="1" bestFit="1" customWidth="1"/>
    <col min="3" max="3" width="9.1640625" style="1"/>
    <col min="4" max="4" width="22" style="1" customWidth="1"/>
    <col min="5" max="5" width="36.1640625" style="1" bestFit="1" customWidth="1"/>
    <col min="6" max="16384" width="9.1640625" style="1"/>
  </cols>
  <sheetData>
    <row r="1" spans="1:5" x14ac:dyDescent="0.25">
      <c r="A1" s="57" t="s">
        <v>31</v>
      </c>
      <c r="B1" s="58" t="s">
        <v>32</v>
      </c>
    </row>
    <row r="2" spans="1:5" x14ac:dyDescent="0.25">
      <c r="A2" s="59">
        <v>2</v>
      </c>
      <c r="B2" s="60" t="s">
        <v>33</v>
      </c>
    </row>
    <row r="3" spans="1:5" x14ac:dyDescent="0.25">
      <c r="A3" s="59">
        <v>3</v>
      </c>
      <c r="B3" s="60" t="s">
        <v>34</v>
      </c>
      <c r="E3" s="10" t="s">
        <v>35</v>
      </c>
    </row>
    <row r="4" spans="1:5" x14ac:dyDescent="0.25">
      <c r="A4" s="59">
        <v>4</v>
      </c>
      <c r="B4" s="60" t="s">
        <v>36</v>
      </c>
    </row>
    <row r="5" spans="1:5" x14ac:dyDescent="0.25">
      <c r="A5" s="59">
        <v>12</v>
      </c>
      <c r="B5" s="60" t="s">
        <v>37</v>
      </c>
    </row>
    <row r="6" spans="1:5" x14ac:dyDescent="0.25">
      <c r="A6" s="59">
        <v>52</v>
      </c>
      <c r="B6" s="60" t="s">
        <v>38</v>
      </c>
    </row>
    <row r="7" spans="1:5" x14ac:dyDescent="0.25">
      <c r="A7" s="59">
        <v>365</v>
      </c>
      <c r="B7" s="60" t="s">
        <v>39</v>
      </c>
      <c r="D7" s="1">
        <v>360</v>
      </c>
      <c r="E7" s="1" t="s">
        <v>40</v>
      </c>
    </row>
    <row r="8" spans="1:5" x14ac:dyDescent="0.25">
      <c r="A8" s="59">
        <f>+A7*24</f>
        <v>8760</v>
      </c>
      <c r="B8" s="60" t="s">
        <v>41</v>
      </c>
    </row>
    <row r="9" spans="1:5" x14ac:dyDescent="0.25">
      <c r="A9" s="59">
        <f>+A8*60</f>
        <v>525600</v>
      </c>
      <c r="B9" s="60" t="s">
        <v>42</v>
      </c>
    </row>
    <row r="10" spans="1:5" x14ac:dyDescent="0.25">
      <c r="A10" s="59">
        <f>+A9*60</f>
        <v>31536000</v>
      </c>
      <c r="B10" s="60" t="s">
        <v>43</v>
      </c>
    </row>
    <row r="11" spans="1:5" ht="25" thickBot="1" x14ac:dyDescent="0.3">
      <c r="B11" s="6" t="s">
        <v>21</v>
      </c>
    </row>
    <row r="12" spans="1:5" ht="25" thickBot="1" x14ac:dyDescent="0.3">
      <c r="B12" s="56" t="s">
        <v>44</v>
      </c>
    </row>
    <row r="13" spans="1:5" x14ac:dyDescent="0.25">
      <c r="B13" s="1" t="s">
        <v>1</v>
      </c>
      <c r="C13" s="1">
        <v>15000</v>
      </c>
    </row>
    <row r="14" spans="1:5" x14ac:dyDescent="0.25">
      <c r="A14" s="1" t="s">
        <v>50</v>
      </c>
      <c r="B14" s="1" t="s">
        <v>2</v>
      </c>
      <c r="C14" s="2">
        <v>0.06</v>
      </c>
    </row>
    <row r="15" spans="1:5" x14ac:dyDescent="0.25">
      <c r="B15" s="1" t="s">
        <v>3</v>
      </c>
      <c r="C15" s="1">
        <v>2</v>
      </c>
    </row>
    <row r="16" spans="1:5" x14ac:dyDescent="0.25">
      <c r="B16" s="1" t="s">
        <v>6</v>
      </c>
      <c r="C16" s="1">
        <f>+C13*(1+C14*C15)</f>
        <v>16800</v>
      </c>
      <c r="D16" s="1">
        <f>+C16-C13</f>
        <v>1800</v>
      </c>
    </row>
    <row r="17" spans="1:4" x14ac:dyDescent="0.25">
      <c r="B17" s="5"/>
    </row>
    <row r="19" spans="1:4" x14ac:dyDescent="0.25">
      <c r="B19" s="1" t="s">
        <v>10</v>
      </c>
      <c r="C19" s="1">
        <f>C13</f>
        <v>15000</v>
      </c>
    </row>
    <row r="20" spans="1:4" x14ac:dyDescent="0.25">
      <c r="A20" s="1" t="s">
        <v>51</v>
      </c>
      <c r="B20" s="1" t="s">
        <v>2</v>
      </c>
      <c r="C20" s="2">
        <v>0.06</v>
      </c>
    </row>
    <row r="21" spans="1:4" x14ac:dyDescent="0.25">
      <c r="B21" s="1" t="s">
        <v>3</v>
      </c>
      <c r="C21" s="1">
        <v>2</v>
      </c>
    </row>
    <row r="22" spans="1:4" x14ac:dyDescent="0.25">
      <c r="B22" s="1" t="s">
        <v>23</v>
      </c>
      <c r="C22" s="1">
        <f>+C19*(1+C20)^C21</f>
        <v>16854.000000000004</v>
      </c>
      <c r="D22" s="9">
        <f>+C22-C19</f>
        <v>1854.0000000000036</v>
      </c>
    </row>
    <row r="24" spans="1:4" x14ac:dyDescent="0.25">
      <c r="A24" s="8" t="s">
        <v>45</v>
      </c>
      <c r="B24" s="1">
        <v>31536000</v>
      </c>
    </row>
    <row r="25" spans="1:4" x14ac:dyDescent="0.25">
      <c r="A25" s="1" t="s">
        <v>52</v>
      </c>
      <c r="B25" s="1" t="s">
        <v>23</v>
      </c>
      <c r="C25" s="1">
        <f>C19*(1+C20/B24)^(C21*B24)</f>
        <v>16912.452653032738</v>
      </c>
      <c r="D25" s="61">
        <f>+C25-C19</f>
        <v>1912.4526530327385</v>
      </c>
    </row>
    <row r="27" spans="1:4" x14ac:dyDescent="0.25">
      <c r="B27" s="1" t="s">
        <v>46</v>
      </c>
    </row>
    <row r="28" spans="1:4" ht="22" thickBot="1" x14ac:dyDescent="0.3"/>
    <row r="29" spans="1:4" ht="25" thickBot="1" x14ac:dyDescent="0.3">
      <c r="B29" s="56" t="s">
        <v>47</v>
      </c>
      <c r="C29" s="64" t="s">
        <v>127</v>
      </c>
      <c r="D29" s="63" t="s">
        <v>126</v>
      </c>
    </row>
    <row r="31" spans="1:4" x14ac:dyDescent="0.25">
      <c r="B31" s="1" t="s">
        <v>10</v>
      </c>
      <c r="C31" s="1">
        <f>C19</f>
        <v>15000</v>
      </c>
    </row>
    <row r="32" spans="1:4" x14ac:dyDescent="0.25">
      <c r="B32" s="1" t="s">
        <v>2</v>
      </c>
      <c r="C32" s="2">
        <v>0.06</v>
      </c>
    </row>
    <row r="33" spans="1:4" x14ac:dyDescent="0.25">
      <c r="B33" s="1" t="s">
        <v>3</v>
      </c>
      <c r="C33" s="1">
        <v>2</v>
      </c>
    </row>
    <row r="34" spans="1:4" x14ac:dyDescent="0.25">
      <c r="B34" s="1" t="s">
        <v>23</v>
      </c>
      <c r="C34" s="1">
        <f>C31*EXP(C32*C33)</f>
        <v>16912.452773690635</v>
      </c>
      <c r="D34" s="62">
        <f>+C34-C31</f>
        <v>1912.4527736906348</v>
      </c>
    </row>
    <row r="36" spans="1:4" x14ac:dyDescent="0.25">
      <c r="A36" s="1" t="s">
        <v>53</v>
      </c>
    </row>
    <row r="37" spans="1:4" ht="25" thickBot="1" x14ac:dyDescent="0.3">
      <c r="B37" s="7" t="s">
        <v>54</v>
      </c>
    </row>
    <row r="38" spans="1:4" ht="25" thickBot="1" x14ac:dyDescent="0.3">
      <c r="A38" s="1" t="s">
        <v>56</v>
      </c>
      <c r="B38" s="43" t="s">
        <v>55</v>
      </c>
    </row>
    <row r="40" spans="1:4" x14ac:dyDescent="0.25">
      <c r="A40" s="1" t="s">
        <v>57</v>
      </c>
      <c r="B40" s="14">
        <v>0.08</v>
      </c>
    </row>
    <row r="41" spans="1:4" x14ac:dyDescent="0.25">
      <c r="A41" s="1" t="s">
        <v>31</v>
      </c>
      <c r="B41" s="11">
        <v>12</v>
      </c>
    </row>
    <row r="42" spans="1:4" x14ac:dyDescent="0.25">
      <c r="A42" s="1" t="s">
        <v>58</v>
      </c>
      <c r="B42" s="13">
        <f>((1+B40/B41)^B41)-1</f>
        <v>8.2999506807510004E-2</v>
      </c>
    </row>
    <row r="43" spans="1:4" ht="22" thickBot="1" x14ac:dyDescent="0.3"/>
    <row r="44" spans="1:4" ht="25" thickBot="1" x14ac:dyDescent="0.3">
      <c r="B44" s="43" t="s">
        <v>128</v>
      </c>
    </row>
    <row r="45" spans="1:4" x14ac:dyDescent="0.25">
      <c r="A45" s="1" t="s">
        <v>59</v>
      </c>
      <c r="B45" s="7" t="s">
        <v>7</v>
      </c>
    </row>
    <row r="46" spans="1:4" x14ac:dyDescent="0.25">
      <c r="B46" s="12">
        <f>(2.718281^B40)-1</f>
        <v>8.3287041262418482E-2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7294E-0336-4F7D-95EB-30A65731E403}">
  <dimension ref="A1:G54"/>
  <sheetViews>
    <sheetView topLeftCell="A34" zoomScaleNormal="100" workbookViewId="0">
      <selection activeCell="B46" sqref="B46"/>
    </sheetView>
  </sheetViews>
  <sheetFormatPr baseColWidth="10" defaultColWidth="9.1640625" defaultRowHeight="24" x14ac:dyDescent="0.3"/>
  <cols>
    <col min="1" max="1" width="20.33203125" style="15" customWidth="1"/>
    <col min="2" max="2" width="20.5" style="15" bestFit="1" customWidth="1"/>
    <col min="3" max="3" width="20.5" style="15" customWidth="1"/>
    <col min="4" max="4" width="22.5" style="15" customWidth="1"/>
    <col min="5" max="6" width="12.5" style="15" bestFit="1" customWidth="1"/>
    <col min="7" max="7" width="4" style="15" bestFit="1" customWidth="1"/>
    <col min="8" max="16384" width="9.1640625" style="15"/>
  </cols>
  <sheetData>
    <row r="1" spans="1:7" x14ac:dyDescent="0.3">
      <c r="A1" s="15" t="s">
        <v>63</v>
      </c>
      <c r="B1" s="16">
        <v>0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</row>
    <row r="2" spans="1:7" x14ac:dyDescent="0.3">
      <c r="A2" s="15" t="s">
        <v>62</v>
      </c>
    </row>
    <row r="3" spans="1:7" x14ac:dyDescent="0.3">
      <c r="A3" s="15" t="s">
        <v>61</v>
      </c>
      <c r="B3" s="16" t="s">
        <v>64</v>
      </c>
      <c r="C3" s="16" t="s">
        <v>64</v>
      </c>
      <c r="D3" s="16" t="s">
        <v>64</v>
      </c>
      <c r="E3" s="16" t="s">
        <v>64</v>
      </c>
      <c r="F3" s="16" t="s">
        <v>64</v>
      </c>
      <c r="G3" s="16" t="s">
        <v>64</v>
      </c>
    </row>
    <row r="4" spans="1:7" x14ac:dyDescent="0.3">
      <c r="A4" s="15" t="s">
        <v>60</v>
      </c>
    </row>
    <row r="6" spans="1:7" ht="27" x14ac:dyDescent="0.3">
      <c r="A6" s="15" t="s">
        <v>65</v>
      </c>
      <c r="B6" s="15" t="s">
        <v>71</v>
      </c>
      <c r="C6" s="15" t="s">
        <v>72</v>
      </c>
      <c r="D6" s="15" t="s">
        <v>73</v>
      </c>
      <c r="E6" s="15" t="s">
        <v>74</v>
      </c>
      <c r="F6" s="15" t="s">
        <v>75</v>
      </c>
      <c r="G6" s="15" t="s">
        <v>64</v>
      </c>
    </row>
    <row r="7" spans="1:7" ht="27" x14ac:dyDescent="0.3">
      <c r="A7" s="17" t="s">
        <v>66</v>
      </c>
      <c r="B7" s="18" t="s">
        <v>76</v>
      </c>
      <c r="C7" s="18" t="s">
        <v>77</v>
      </c>
      <c r="D7" s="18" t="s">
        <v>78</v>
      </c>
      <c r="E7" s="18" t="s">
        <v>79</v>
      </c>
      <c r="F7" s="18" t="s">
        <v>80</v>
      </c>
      <c r="G7" s="15" t="s">
        <v>67</v>
      </c>
    </row>
    <row r="9" spans="1:7" x14ac:dyDescent="0.3">
      <c r="A9" s="15" t="s">
        <v>68</v>
      </c>
      <c r="B9" s="15" t="s">
        <v>69</v>
      </c>
    </row>
    <row r="12" spans="1:7" x14ac:dyDescent="0.3">
      <c r="A12" s="18" t="s">
        <v>70</v>
      </c>
    </row>
    <row r="14" spans="1:7" x14ac:dyDescent="0.3">
      <c r="B14" s="40" t="s">
        <v>81</v>
      </c>
    </row>
    <row r="15" spans="1:7" x14ac:dyDescent="0.3">
      <c r="B15" s="41" t="s">
        <v>82</v>
      </c>
    </row>
    <row r="17" spans="1:4" ht="27" x14ac:dyDescent="0.3">
      <c r="A17" s="18" t="s">
        <v>95</v>
      </c>
    </row>
    <row r="18" spans="1:4" ht="27" x14ac:dyDescent="0.3">
      <c r="A18" s="18" t="s">
        <v>96</v>
      </c>
      <c r="D18" s="18" t="s">
        <v>97</v>
      </c>
    </row>
    <row r="21" spans="1:4" x14ac:dyDescent="0.3">
      <c r="A21" s="15" t="s">
        <v>64</v>
      </c>
      <c r="B21" s="15">
        <v>500</v>
      </c>
    </row>
    <row r="22" spans="1:4" x14ac:dyDescent="0.3">
      <c r="A22" s="15" t="s">
        <v>57</v>
      </c>
      <c r="B22" s="19">
        <v>0.05</v>
      </c>
      <c r="C22" s="15">
        <f>B21*B23</f>
        <v>10000</v>
      </c>
    </row>
    <row r="23" spans="1:4" x14ac:dyDescent="0.3">
      <c r="A23" s="15" t="s">
        <v>83</v>
      </c>
      <c r="B23" s="15">
        <v>20</v>
      </c>
    </row>
    <row r="25" spans="1:4" x14ac:dyDescent="0.3">
      <c r="A25" s="15" t="s">
        <v>65</v>
      </c>
      <c r="B25" s="20">
        <f>B21*(((1+B22)^B23)-1)/B22</f>
        <v>16532.977051444206</v>
      </c>
    </row>
    <row r="28" spans="1:4" x14ac:dyDescent="0.3">
      <c r="A28" s="15" t="s">
        <v>84</v>
      </c>
      <c r="B28" s="15">
        <v>27000</v>
      </c>
    </row>
    <row r="29" spans="1:4" x14ac:dyDescent="0.3">
      <c r="A29" s="15" t="s">
        <v>57</v>
      </c>
      <c r="B29" s="19">
        <f>2.4%/12</f>
        <v>2E-3</v>
      </c>
    </row>
    <row r="30" spans="1:4" x14ac:dyDescent="0.3">
      <c r="A30" s="15" t="s">
        <v>83</v>
      </c>
      <c r="B30" s="15">
        <v>84</v>
      </c>
    </row>
    <row r="32" spans="1:4" x14ac:dyDescent="0.3">
      <c r="A32" s="15" t="s">
        <v>85</v>
      </c>
      <c r="B32" s="20">
        <f>+B28/B33</f>
        <v>349.50478365024702</v>
      </c>
      <c r="C32" s="15">
        <f>+B32*B30</f>
        <v>29358.401826620749</v>
      </c>
      <c r="D32" s="15">
        <f>+C32-B28</f>
        <v>2358.4018266207495</v>
      </c>
    </row>
    <row r="33" spans="1:5" x14ac:dyDescent="0.3">
      <c r="B33" s="15">
        <f>(((1+B29)^B30)-1)/(B29*(1+B29)^B30)</f>
        <v>77.252161524115721</v>
      </c>
    </row>
    <row r="35" spans="1:5" x14ac:dyDescent="0.3">
      <c r="A35" s="15" t="s">
        <v>98</v>
      </c>
      <c r="D35" s="20">
        <v>30000</v>
      </c>
    </row>
    <row r="36" spans="1:5" x14ac:dyDescent="0.3">
      <c r="A36" s="15" t="s">
        <v>99</v>
      </c>
    </row>
    <row r="37" spans="1:5" x14ac:dyDescent="0.3">
      <c r="A37" s="15" t="s">
        <v>100</v>
      </c>
    </row>
    <row r="39" spans="1:5" x14ac:dyDescent="0.3">
      <c r="A39" s="15" t="s">
        <v>101</v>
      </c>
      <c r="C39" s="15" t="s">
        <v>102</v>
      </c>
    </row>
    <row r="40" spans="1:5" x14ac:dyDescent="0.3">
      <c r="A40" s="15" t="s">
        <v>103</v>
      </c>
      <c r="C40" s="15" t="s">
        <v>104</v>
      </c>
    </row>
    <row r="41" spans="1:5" x14ac:dyDescent="0.3">
      <c r="A41" s="15" t="s">
        <v>105</v>
      </c>
      <c r="D41" s="15" t="s">
        <v>110</v>
      </c>
    </row>
    <row r="43" spans="1:5" x14ac:dyDescent="0.3">
      <c r="A43" s="15" t="s">
        <v>106</v>
      </c>
      <c r="B43" s="20">
        <v>30000</v>
      </c>
      <c r="D43" s="15" t="s">
        <v>108</v>
      </c>
    </row>
    <row r="44" spans="1:5" x14ac:dyDescent="0.3">
      <c r="A44" s="15" t="s">
        <v>92</v>
      </c>
      <c r="B44" s="19">
        <v>0.05</v>
      </c>
      <c r="D44" s="15" t="s">
        <v>109</v>
      </c>
      <c r="E44" s="15">
        <f>(1+B44/B46)^(B45*B46)</f>
        <v>1.283358678503514</v>
      </c>
    </row>
    <row r="45" spans="1:5" x14ac:dyDescent="0.3">
      <c r="A45" s="15" t="s">
        <v>107</v>
      </c>
      <c r="B45" s="15">
        <v>5</v>
      </c>
      <c r="D45" s="15" t="s">
        <v>108</v>
      </c>
    </row>
    <row r="46" spans="1:5" x14ac:dyDescent="0.3">
      <c r="A46" s="15" t="s">
        <v>45</v>
      </c>
      <c r="B46" s="15">
        <v>12</v>
      </c>
      <c r="D46" s="15">
        <f>(E44-1)/((B44/B46)*E44)</f>
        <v>52.990706323927476</v>
      </c>
    </row>
    <row r="47" spans="1:5" x14ac:dyDescent="0.3">
      <c r="C47" s="42" t="s">
        <v>85</v>
      </c>
      <c r="D47" s="20">
        <f>+B43/D46</f>
        <v>566.13700932032623</v>
      </c>
    </row>
    <row r="49" spans="1:5" x14ac:dyDescent="0.3">
      <c r="A49" s="15" t="s">
        <v>111</v>
      </c>
      <c r="B49" s="20">
        <v>20000</v>
      </c>
      <c r="D49" s="15" t="s">
        <v>113</v>
      </c>
    </row>
    <row r="50" spans="1:5" x14ac:dyDescent="0.3">
      <c r="A50" s="15" t="s">
        <v>92</v>
      </c>
      <c r="B50" s="19">
        <v>0.04</v>
      </c>
      <c r="D50" s="15" t="s">
        <v>109</v>
      </c>
      <c r="E50" s="15">
        <f>(1+B50/B52)^(B51*B52)</f>
        <v>1.4859473959783542</v>
      </c>
    </row>
    <row r="51" spans="1:5" x14ac:dyDescent="0.3">
      <c r="A51" s="15" t="s">
        <v>107</v>
      </c>
      <c r="B51" s="15">
        <v>10</v>
      </c>
      <c r="D51" s="15" t="s">
        <v>113</v>
      </c>
    </row>
    <row r="52" spans="1:5" x14ac:dyDescent="0.3">
      <c r="A52" s="15" t="s">
        <v>45</v>
      </c>
      <c r="B52" s="15">
        <v>2</v>
      </c>
      <c r="D52" s="15">
        <f>(E50-1)/(B50/B52)</f>
        <v>24.29736979891771</v>
      </c>
    </row>
    <row r="53" spans="1:5" x14ac:dyDescent="0.3">
      <c r="D53" s="20">
        <f>+B49/D52</f>
        <v>823.13436250580787</v>
      </c>
    </row>
    <row r="54" spans="1:5" x14ac:dyDescent="0.3">
      <c r="A54" s="15" t="s">
        <v>112</v>
      </c>
      <c r="D54" s="20">
        <f>+D53*B51*B52</f>
        <v>16462.687250116156</v>
      </c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ADD13-CE06-41DF-9127-7CBDD2B1CB1C}">
  <dimension ref="A1:H40"/>
  <sheetViews>
    <sheetView topLeftCell="D19" zoomScale="80" zoomScaleNormal="80" workbookViewId="0">
      <selection activeCell="G24" sqref="G24"/>
    </sheetView>
  </sheetViews>
  <sheetFormatPr baseColWidth="10" defaultColWidth="9.1640625" defaultRowHeight="24" x14ac:dyDescent="0.3"/>
  <cols>
    <col min="1" max="1" width="26.5" style="15" bestFit="1" customWidth="1"/>
    <col min="2" max="2" width="43.1640625" style="20" bestFit="1" customWidth="1"/>
    <col min="3" max="3" width="43" style="20" bestFit="1" customWidth="1"/>
    <col min="4" max="4" width="46.5" style="15" bestFit="1" customWidth="1"/>
    <col min="5" max="6" width="46.33203125" style="15" bestFit="1" customWidth="1"/>
    <col min="7" max="7" width="20.6640625" style="15" customWidth="1"/>
    <col min="8" max="8" width="28.83203125" style="15" bestFit="1" customWidth="1"/>
    <col min="9" max="16384" width="9.1640625" style="15"/>
  </cols>
  <sheetData>
    <row r="1" spans="1:8" x14ac:dyDescent="0.3">
      <c r="A1" s="15" t="s">
        <v>86</v>
      </c>
      <c r="B1" s="20" t="s">
        <v>114</v>
      </c>
      <c r="C1" s="20" t="s">
        <v>115</v>
      </c>
      <c r="D1" s="20" t="s">
        <v>88</v>
      </c>
      <c r="E1" s="20" t="s">
        <v>89</v>
      </c>
    </row>
    <row r="2" spans="1:8" x14ac:dyDescent="0.3">
      <c r="A2" s="15">
        <v>0</v>
      </c>
      <c r="B2" s="20">
        <v>-10000</v>
      </c>
      <c r="C2" s="20">
        <v>-10000</v>
      </c>
      <c r="D2" s="20">
        <f>+B2/(1+$B$11)^$A2</f>
        <v>-10000</v>
      </c>
      <c r="E2" s="20">
        <f>+C2/(1+$B$11)^$A2</f>
        <v>-10000</v>
      </c>
    </row>
    <row r="3" spans="1:8" x14ac:dyDescent="0.3">
      <c r="A3" s="15">
        <v>1</v>
      </c>
      <c r="B3" s="20">
        <v>-1000</v>
      </c>
      <c r="C3" s="20">
        <v>2000</v>
      </c>
      <c r="D3" s="20">
        <f>+B3/((1+$B$11)^$A3)</f>
        <v>-892.85714285714278</v>
      </c>
      <c r="E3" s="20">
        <f>+C3/(1+$B$11)^$A3</f>
        <v>1785.7142857142856</v>
      </c>
    </row>
    <row r="4" spans="1:8" x14ac:dyDescent="0.3">
      <c r="A4" s="15">
        <v>2</v>
      </c>
      <c r="B4" s="20">
        <v>3000</v>
      </c>
      <c r="C4" s="20">
        <v>2000</v>
      </c>
      <c r="D4" s="20">
        <f>+B4/(1+$B$11)^$A4</f>
        <v>2391.5816326530608</v>
      </c>
      <c r="E4" s="20">
        <f>+C4/(1+$B$11)^$A4</f>
        <v>1594.3877551020405</v>
      </c>
    </row>
    <row r="5" spans="1:8" x14ac:dyDescent="0.3">
      <c r="A5" s="15">
        <v>3</v>
      </c>
      <c r="B5" s="20">
        <v>7000</v>
      </c>
      <c r="C5" s="20">
        <v>6000</v>
      </c>
      <c r="D5" s="20">
        <f>+B5/(1+$B$11)^$A5</f>
        <v>4982.4617346938758</v>
      </c>
      <c r="E5" s="20">
        <f>+C5/(1+$B$11)^$A5</f>
        <v>4270.6814868804649</v>
      </c>
    </row>
    <row r="6" spans="1:8" x14ac:dyDescent="0.3">
      <c r="A6" s="15">
        <v>4</v>
      </c>
      <c r="B6" s="20">
        <v>3000</v>
      </c>
      <c r="C6" s="20">
        <v>2000</v>
      </c>
      <c r="D6" s="20">
        <f>+B6/(1+$B$11)^$A6</f>
        <v>1906.5542352144935</v>
      </c>
      <c r="E6" s="20">
        <f>+C6/(1+$B$11)^$A6</f>
        <v>1271.0361568096623</v>
      </c>
    </row>
    <row r="7" spans="1:8" x14ac:dyDescent="0.3">
      <c r="A7" s="15">
        <v>5</v>
      </c>
      <c r="B7" s="20">
        <v>2000</v>
      </c>
      <c r="C7" s="20">
        <v>2000</v>
      </c>
      <c r="D7" s="20">
        <f>+B7/(1+$B$11)^$A7</f>
        <v>1134.8537114371984</v>
      </c>
      <c r="E7" s="20">
        <f>+C7/(1+$B$11)^$A7</f>
        <v>1134.8537114371984</v>
      </c>
    </row>
    <row r="8" spans="1:8" x14ac:dyDescent="0.3">
      <c r="D8" s="20"/>
      <c r="E8" s="20"/>
    </row>
    <row r="9" spans="1:8" x14ac:dyDescent="0.3">
      <c r="B9" s="20">
        <f>SUM(B2:B8)</f>
        <v>4000</v>
      </c>
      <c r="C9" s="20">
        <f>SUM(C2:C8)</f>
        <v>4000</v>
      </c>
      <c r="D9" s="21">
        <f>SUM(D2:D8)</f>
        <v>-477.40582885851518</v>
      </c>
      <c r="E9" s="21">
        <f>SUM(E2:E8)</f>
        <v>56.673395943652395</v>
      </c>
    </row>
    <row r="11" spans="1:8" x14ac:dyDescent="0.3">
      <c r="A11" s="15" t="s">
        <v>87</v>
      </c>
      <c r="B11" s="22">
        <v>0.12</v>
      </c>
      <c r="D11" s="33"/>
      <c r="E11" s="33"/>
    </row>
    <row r="12" spans="1:8" x14ac:dyDescent="0.3">
      <c r="B12" s="34">
        <f>NPV(B11,B3:B7)+B2</f>
        <v>-477.40582885851472</v>
      </c>
      <c r="C12" s="34">
        <f>NPV(B11,C3:C7)+C2</f>
        <v>56.673395943651485</v>
      </c>
    </row>
    <row r="14" spans="1:8" ht="25" thickBot="1" x14ac:dyDescent="0.35"/>
    <row r="15" spans="1:8" ht="25" thickBot="1" x14ac:dyDescent="0.35">
      <c r="A15" s="23" t="s">
        <v>86</v>
      </c>
      <c r="B15" s="24" t="s">
        <v>114</v>
      </c>
      <c r="C15" s="24" t="s">
        <v>115</v>
      </c>
      <c r="D15" s="25" t="s">
        <v>116</v>
      </c>
    </row>
    <row r="16" spans="1:8" x14ac:dyDescent="0.3">
      <c r="A16" s="26">
        <v>0</v>
      </c>
      <c r="B16" s="27">
        <v>-150000</v>
      </c>
      <c r="C16" s="27">
        <v>-150000</v>
      </c>
      <c r="D16" s="27">
        <v>-150000</v>
      </c>
      <c r="E16" s="15">
        <f>1/(1+$B$29)^A16</f>
        <v>1</v>
      </c>
      <c r="F16" s="68">
        <f>E16*B16</f>
        <v>-150000</v>
      </c>
      <c r="G16" s="68">
        <f>E16*C16</f>
        <v>-150000</v>
      </c>
      <c r="H16" s="68">
        <f>E16*D16</f>
        <v>-150000</v>
      </c>
    </row>
    <row r="17" spans="1:8" x14ac:dyDescent="0.3">
      <c r="A17" s="28">
        <v>1</v>
      </c>
      <c r="B17" s="29">
        <v>-5000</v>
      </c>
      <c r="C17" s="29">
        <v>-4000</v>
      </c>
      <c r="D17" s="29">
        <v>-6000</v>
      </c>
      <c r="E17" s="15">
        <f t="shared" ref="E17:E21" si="0">1/(1+$B$29)^A17</f>
        <v>0.92721372276309688</v>
      </c>
      <c r="F17" s="68">
        <f t="shared" ref="F17:F21" si="1">E17*B17</f>
        <v>-4636.0686138154842</v>
      </c>
      <c r="G17" s="68">
        <f t="shared" ref="G17:G21" si="2">E17*C17</f>
        <v>-3708.8548910523873</v>
      </c>
      <c r="H17" s="68">
        <f t="shared" ref="H17:H21" si="3">E17*D17</f>
        <v>-5563.2823365785816</v>
      </c>
    </row>
    <row r="18" spans="1:8" x14ac:dyDescent="0.3">
      <c r="A18" s="28">
        <v>2</v>
      </c>
      <c r="B18" s="29">
        <v>36000</v>
      </c>
      <c r="C18" s="29">
        <v>-2000</v>
      </c>
      <c r="D18" s="29">
        <v>-3000</v>
      </c>
      <c r="E18" s="15">
        <f t="shared" si="0"/>
        <v>0.85972528768020107</v>
      </c>
      <c r="F18" s="68">
        <f t="shared" si="1"/>
        <v>30950.110356487239</v>
      </c>
      <c r="G18" s="68">
        <f t="shared" si="2"/>
        <v>-1719.4505753604021</v>
      </c>
      <c r="H18" s="68">
        <f t="shared" si="3"/>
        <v>-2579.1758630406034</v>
      </c>
    </row>
    <row r="19" spans="1:8" x14ac:dyDescent="0.3">
      <c r="A19" s="28">
        <v>3</v>
      </c>
      <c r="B19" s="29">
        <v>40000</v>
      </c>
      <c r="C19" s="29">
        <v>80000</v>
      </c>
      <c r="D19" s="29">
        <v>100000</v>
      </c>
      <c r="E19" s="15">
        <f t="shared" si="0"/>
        <v>0.79714908454353373</v>
      </c>
      <c r="F19" s="68">
        <f t="shared" si="1"/>
        <v>31885.963381741349</v>
      </c>
      <c r="G19" s="68">
        <f t="shared" si="2"/>
        <v>63771.926763482697</v>
      </c>
      <c r="H19" s="68">
        <f t="shared" si="3"/>
        <v>79714.908454353368</v>
      </c>
    </row>
    <row r="20" spans="1:8" x14ac:dyDescent="0.3">
      <c r="A20" s="28">
        <v>4</v>
      </c>
      <c r="B20" s="29">
        <v>40000</v>
      </c>
      <c r="C20" s="29">
        <v>87000</v>
      </c>
      <c r="D20" s="29">
        <v>80000</v>
      </c>
      <c r="E20" s="15">
        <f t="shared" si="0"/>
        <v>0.73912757027680442</v>
      </c>
      <c r="F20" s="68">
        <f t="shared" si="1"/>
        <v>29565.102811072178</v>
      </c>
      <c r="G20" s="68">
        <f t="shared" si="2"/>
        <v>64304.098614081988</v>
      </c>
      <c r="H20" s="68">
        <f t="shared" si="3"/>
        <v>59130.205622144356</v>
      </c>
    </row>
    <row r="21" spans="1:8" x14ac:dyDescent="0.3">
      <c r="A21" s="28">
        <v>5</v>
      </c>
      <c r="B21" s="29">
        <v>90000</v>
      </c>
      <c r="C21" s="29">
        <v>40000</v>
      </c>
      <c r="D21" s="29">
        <v>30000</v>
      </c>
      <c r="E21" s="15">
        <f t="shared" si="0"/>
        <v>0.68532922603319846</v>
      </c>
      <c r="F21" s="68">
        <f t="shared" si="1"/>
        <v>61679.630342987861</v>
      </c>
      <c r="G21" s="68">
        <f t="shared" si="2"/>
        <v>27413.169041327939</v>
      </c>
      <c r="H21" s="68">
        <f t="shared" si="3"/>
        <v>20559.876780995954</v>
      </c>
    </row>
    <row r="22" spans="1:8" ht="25" thickBot="1" x14ac:dyDescent="0.35">
      <c r="D22" s="20"/>
      <c r="F22" s="68">
        <f>SUM(F16:F21)</f>
        <v>-555.26172152684012</v>
      </c>
      <c r="G22" s="68">
        <f t="shared" ref="G22:H22" si="4">SUM(G16:G21)</f>
        <v>60.888952479854197</v>
      </c>
      <c r="H22" s="68">
        <f t="shared" si="4"/>
        <v>1262.5326578744789</v>
      </c>
    </row>
    <row r="23" spans="1:8" ht="25" thickBot="1" x14ac:dyDescent="0.35">
      <c r="B23" s="30">
        <f>SUM(B16:B22)</f>
        <v>51000</v>
      </c>
      <c r="C23" s="31">
        <f>SUM(C16:C22)</f>
        <v>51000</v>
      </c>
      <c r="D23" s="32">
        <f>SUM(D16:D22)</f>
        <v>51000</v>
      </c>
      <c r="F23" s="69">
        <v>7.7499999999999999E-2</v>
      </c>
      <c r="G23" s="69">
        <v>7.85E-2</v>
      </c>
      <c r="H23" s="69">
        <v>8.1000000000000003E-2</v>
      </c>
    </row>
    <row r="25" spans="1:8" x14ac:dyDescent="0.3">
      <c r="A25" s="35" t="s">
        <v>93</v>
      </c>
      <c r="B25" s="36">
        <v>5</v>
      </c>
      <c r="C25" s="36">
        <v>4</v>
      </c>
      <c r="D25" s="36">
        <v>4</v>
      </c>
    </row>
    <row r="27" spans="1:8" x14ac:dyDescent="0.3">
      <c r="B27" s="20" t="s">
        <v>90</v>
      </c>
      <c r="C27" s="20" t="s">
        <v>91</v>
      </c>
    </row>
    <row r="29" spans="1:8" x14ac:dyDescent="0.3">
      <c r="A29" s="38" t="s">
        <v>92</v>
      </c>
      <c r="B29" s="39">
        <v>7.85E-2</v>
      </c>
    </row>
    <row r="31" spans="1:8" x14ac:dyDescent="0.3">
      <c r="A31" s="20" t="s">
        <v>90</v>
      </c>
      <c r="B31" s="20">
        <f>B16/(1+$B$29)^$A16</f>
        <v>-150000</v>
      </c>
      <c r="C31" s="20">
        <f>C16/(1+$B$29)^$A16</f>
        <v>-150000</v>
      </c>
      <c r="D31" s="20">
        <f>D16/(1+$B$29)^$A16</f>
        <v>-150000</v>
      </c>
    </row>
    <row r="32" spans="1:8" x14ac:dyDescent="0.3">
      <c r="B32" s="20">
        <f t="shared" ref="B32:D36" si="5">B17/(1+$B$29)^$A17</f>
        <v>-4636.0686138154842</v>
      </c>
      <c r="C32" s="20">
        <f t="shared" si="5"/>
        <v>-3708.8548910523873</v>
      </c>
      <c r="D32" s="20">
        <f t="shared" si="5"/>
        <v>-5563.2823365785816</v>
      </c>
    </row>
    <row r="33" spans="1:4" x14ac:dyDescent="0.3">
      <c r="B33" s="20">
        <f t="shared" si="5"/>
        <v>30950.110356487239</v>
      </c>
      <c r="C33" s="20">
        <f t="shared" si="5"/>
        <v>-1719.4505753604021</v>
      </c>
      <c r="D33" s="20">
        <f t="shared" si="5"/>
        <v>-2579.175863040603</v>
      </c>
    </row>
    <row r="34" spans="1:4" x14ac:dyDescent="0.3">
      <c r="B34" s="20">
        <f t="shared" si="5"/>
        <v>31885.963381741349</v>
      </c>
      <c r="C34" s="20">
        <f t="shared" si="5"/>
        <v>63771.926763482697</v>
      </c>
      <c r="D34" s="20">
        <f t="shared" si="5"/>
        <v>79714.908454353368</v>
      </c>
    </row>
    <row r="35" spans="1:4" x14ac:dyDescent="0.3">
      <c r="B35" s="20">
        <f t="shared" si="5"/>
        <v>29565.102811072178</v>
      </c>
      <c r="C35" s="20">
        <f t="shared" si="5"/>
        <v>64304.098614081988</v>
      </c>
      <c r="D35" s="20">
        <f t="shared" si="5"/>
        <v>59130.205622144356</v>
      </c>
    </row>
    <row r="36" spans="1:4" x14ac:dyDescent="0.3">
      <c r="B36" s="20">
        <f t="shared" si="5"/>
        <v>61679.630342987854</v>
      </c>
      <c r="C36" s="20">
        <f t="shared" si="5"/>
        <v>27413.169041327936</v>
      </c>
      <c r="D36" s="20">
        <f t="shared" si="5"/>
        <v>20559.876780995954</v>
      </c>
    </row>
    <row r="37" spans="1:4" x14ac:dyDescent="0.3">
      <c r="D37" s="20"/>
    </row>
    <row r="38" spans="1:4" x14ac:dyDescent="0.3">
      <c r="A38" s="37" t="s">
        <v>90</v>
      </c>
      <c r="B38" s="37">
        <f>SUM(B31:B37)</f>
        <v>-555.2617215268474</v>
      </c>
      <c r="C38" s="37">
        <f>SUM(C31:C37)</f>
        <v>60.888952479850559</v>
      </c>
      <c r="D38" s="37">
        <f>SUM(D31:D37)</f>
        <v>1262.5326578744789</v>
      </c>
    </row>
    <row r="40" spans="1:4" x14ac:dyDescent="0.3">
      <c r="A40" s="37" t="s">
        <v>94</v>
      </c>
      <c r="B40" s="67">
        <f>IRR(B16:B21)</f>
        <v>7.7469308356626243E-2</v>
      </c>
      <c r="C40" s="67">
        <f>IRR(C16:C21)</f>
        <v>7.8613554801733043E-2</v>
      </c>
      <c r="D40" s="67">
        <f>IRR(D16:D21)</f>
        <v>8.0911241419287849E-2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6077E-169C-F540-B6F5-CD71784C19EB}">
  <dimension ref="A1:Q38"/>
  <sheetViews>
    <sheetView tabSelected="1" topLeftCell="B17" workbookViewId="0">
      <selection activeCell="H28" sqref="H28"/>
    </sheetView>
  </sheetViews>
  <sheetFormatPr baseColWidth="10" defaultRowHeight="15" x14ac:dyDescent="0.2"/>
  <cols>
    <col min="1" max="1" width="20.1640625" customWidth="1"/>
    <col min="3" max="3" width="13.33203125" customWidth="1"/>
    <col min="4" max="4" width="16" customWidth="1"/>
    <col min="5" max="5" width="12.6640625" customWidth="1"/>
    <col min="6" max="7" width="16.33203125" customWidth="1"/>
    <col min="8" max="8" width="13.6640625" bestFit="1" customWidth="1"/>
    <col min="9" max="10" width="13.83203125" customWidth="1"/>
    <col min="11" max="11" width="12.6640625" customWidth="1"/>
    <col min="12" max="12" width="18.6640625" bestFit="1" customWidth="1"/>
    <col min="13" max="13" width="12.1640625" customWidth="1"/>
    <col min="14" max="14" width="13.5" customWidth="1"/>
    <col min="15" max="16" width="12.5" customWidth="1"/>
    <col min="17" max="17" width="17" bestFit="1" customWidth="1"/>
  </cols>
  <sheetData>
    <row r="1" spans="1:17" x14ac:dyDescent="0.2">
      <c r="A1" s="70">
        <v>1000000</v>
      </c>
    </row>
    <row r="2" spans="1:17" x14ac:dyDescent="0.2">
      <c r="C2">
        <v>0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  <c r="L2" t="s">
        <v>136</v>
      </c>
      <c r="M2" t="s">
        <v>137</v>
      </c>
      <c r="N2" t="s">
        <v>138</v>
      </c>
      <c r="O2" t="s">
        <v>133</v>
      </c>
      <c r="P2" t="s">
        <v>131</v>
      </c>
      <c r="Q2" t="s">
        <v>139</v>
      </c>
    </row>
    <row r="3" spans="1:17" x14ac:dyDescent="0.2">
      <c r="A3" s="71">
        <v>0.1</v>
      </c>
      <c r="C3">
        <v>1</v>
      </c>
      <c r="D3" s="72">
        <f>$A$1*$A$3</f>
        <v>100000</v>
      </c>
      <c r="E3" s="72"/>
      <c r="F3" s="72">
        <f>$E$12*$A$9</f>
        <v>20000</v>
      </c>
      <c r="G3" s="72">
        <f>(A1-E12)/C12</f>
        <v>60000</v>
      </c>
      <c r="H3" s="72">
        <f>A1-G3</f>
        <v>940000</v>
      </c>
      <c r="I3" s="72">
        <f>A1*$A$9</f>
        <v>50000</v>
      </c>
      <c r="J3" s="72">
        <f>F3+G3+I3</f>
        <v>130000</v>
      </c>
      <c r="K3" s="72">
        <f>D3-J3</f>
        <v>-30000</v>
      </c>
      <c r="L3" s="72">
        <f>F22</f>
        <v>77702.744979274023</v>
      </c>
      <c r="M3" s="72">
        <f>L3+F3</f>
        <v>97702.744979274023</v>
      </c>
      <c r="N3" s="72">
        <f>D3-M3</f>
        <v>2297.2550207259774</v>
      </c>
      <c r="O3" s="72">
        <f>F21*A9</f>
        <v>30000</v>
      </c>
      <c r="P3" s="72">
        <f>L3-O3</f>
        <v>47702.744979274023</v>
      </c>
      <c r="Q3" s="72">
        <f>F21-P3</f>
        <v>552297.25502072601</v>
      </c>
    </row>
    <row r="4" spans="1:17" x14ac:dyDescent="0.2">
      <c r="C4">
        <v>2</v>
      </c>
      <c r="D4" s="72">
        <f t="shared" ref="D4:D11" si="0">$A$1*$A$3</f>
        <v>100000</v>
      </c>
      <c r="F4" s="72">
        <f t="shared" ref="F4:F12" si="1">$E$12*$A$9</f>
        <v>20000</v>
      </c>
      <c r="G4" s="72">
        <f>G3</f>
        <v>60000</v>
      </c>
      <c r="H4" s="72">
        <f>H3-G4</f>
        <v>880000</v>
      </c>
      <c r="I4" s="72">
        <f>H3*$A$9</f>
        <v>47000</v>
      </c>
      <c r="J4" s="72">
        <f t="shared" ref="J4:J12" si="2">F4+G4+I4</f>
        <v>127000</v>
      </c>
      <c r="K4" s="72">
        <f t="shared" ref="K4:K12" si="3">D4-J4</f>
        <v>-27000</v>
      </c>
      <c r="L4" s="72">
        <f>L3</f>
        <v>77702.744979274023</v>
      </c>
      <c r="M4" s="72">
        <f t="shared" ref="M4:M12" si="4">L4+F4</f>
        <v>97702.744979274023</v>
      </c>
      <c r="N4" s="72">
        <f t="shared" ref="N4:N12" si="5">D4-M4</f>
        <v>2297.2550207259774</v>
      </c>
      <c r="O4" s="72">
        <f>Q3*$A$9</f>
        <v>27614.8627510363</v>
      </c>
      <c r="P4" s="72">
        <f>L4-O4</f>
        <v>50087.882228237722</v>
      </c>
      <c r="Q4" s="72">
        <f>Q3-P4</f>
        <v>502209.37279248831</v>
      </c>
    </row>
    <row r="5" spans="1:17" x14ac:dyDescent="0.2">
      <c r="A5">
        <v>10</v>
      </c>
      <c r="C5">
        <v>3</v>
      </c>
      <c r="D5" s="72">
        <f t="shared" si="0"/>
        <v>100000</v>
      </c>
      <c r="F5" s="72">
        <f t="shared" si="1"/>
        <v>20000</v>
      </c>
      <c r="G5" s="72">
        <f t="shared" ref="G5:G12" si="6">G4</f>
        <v>60000</v>
      </c>
      <c r="H5" s="72">
        <f t="shared" ref="H5:H12" si="7">H4-G5</f>
        <v>820000</v>
      </c>
      <c r="I5" s="72">
        <f t="shared" ref="I5:I12" si="8">H4*$A$9</f>
        <v>44000</v>
      </c>
      <c r="J5" s="72">
        <f t="shared" si="2"/>
        <v>124000</v>
      </c>
      <c r="K5" s="72">
        <f t="shared" si="3"/>
        <v>-24000</v>
      </c>
      <c r="L5" s="72">
        <f t="shared" ref="L5:L11" si="9">L4</f>
        <v>77702.744979274023</v>
      </c>
      <c r="M5" s="72">
        <f t="shared" si="4"/>
        <v>97702.744979274023</v>
      </c>
      <c r="N5" s="72">
        <f t="shared" si="5"/>
        <v>2297.2550207259774</v>
      </c>
      <c r="O5" s="72">
        <f t="shared" ref="O5:O12" si="10">Q4*$A$9</f>
        <v>25110.468639624418</v>
      </c>
      <c r="P5" s="72">
        <f t="shared" ref="P5:P12" si="11">L5-O5</f>
        <v>52592.276339649601</v>
      </c>
      <c r="Q5" s="72">
        <f t="shared" ref="Q5:Q12" si="12">Q4-P5</f>
        <v>449617.09645283874</v>
      </c>
    </row>
    <row r="6" spans="1:17" x14ac:dyDescent="0.2">
      <c r="C6">
        <v>4</v>
      </c>
      <c r="D6" s="72">
        <f t="shared" si="0"/>
        <v>100000</v>
      </c>
      <c r="F6" s="72">
        <f t="shared" si="1"/>
        <v>20000</v>
      </c>
      <c r="G6" s="72">
        <f t="shared" si="6"/>
        <v>60000</v>
      </c>
      <c r="H6" s="72">
        <f t="shared" si="7"/>
        <v>760000</v>
      </c>
      <c r="I6" s="72">
        <f t="shared" si="8"/>
        <v>41000</v>
      </c>
      <c r="J6" s="72">
        <f t="shared" si="2"/>
        <v>121000</v>
      </c>
      <c r="K6" s="72">
        <f t="shared" si="3"/>
        <v>-21000</v>
      </c>
      <c r="L6" s="72">
        <f t="shared" si="9"/>
        <v>77702.744979274023</v>
      </c>
      <c r="M6" s="72">
        <f t="shared" si="4"/>
        <v>97702.744979274023</v>
      </c>
      <c r="N6" s="72">
        <f t="shared" si="5"/>
        <v>2297.2550207259774</v>
      </c>
      <c r="O6" s="72">
        <f t="shared" si="10"/>
        <v>22480.854822641937</v>
      </c>
      <c r="P6" s="72">
        <f t="shared" si="11"/>
        <v>55221.890156632086</v>
      </c>
      <c r="Q6" s="72">
        <f t="shared" si="12"/>
        <v>394395.20629620668</v>
      </c>
    </row>
    <row r="7" spans="1:17" x14ac:dyDescent="0.2">
      <c r="A7" s="71">
        <v>0.4</v>
      </c>
      <c r="C7">
        <v>5</v>
      </c>
      <c r="D7" s="72">
        <f t="shared" si="0"/>
        <v>100000</v>
      </c>
      <c r="F7" s="72">
        <f t="shared" si="1"/>
        <v>20000</v>
      </c>
      <c r="G7" s="72">
        <f t="shared" si="6"/>
        <v>60000</v>
      </c>
      <c r="H7" s="72">
        <f t="shared" si="7"/>
        <v>700000</v>
      </c>
      <c r="I7" s="72">
        <f t="shared" si="8"/>
        <v>38000</v>
      </c>
      <c r="J7" s="72">
        <f t="shared" si="2"/>
        <v>118000</v>
      </c>
      <c r="K7" s="72">
        <f t="shared" si="3"/>
        <v>-18000</v>
      </c>
      <c r="L7" s="72">
        <f t="shared" si="9"/>
        <v>77702.744979274023</v>
      </c>
      <c r="M7" s="72">
        <f t="shared" si="4"/>
        <v>97702.744979274023</v>
      </c>
      <c r="N7" s="72">
        <f t="shared" si="5"/>
        <v>2297.2550207259774</v>
      </c>
      <c r="O7" s="72">
        <f t="shared" si="10"/>
        <v>19719.760314810337</v>
      </c>
      <c r="P7" s="72">
        <f t="shared" si="11"/>
        <v>57982.984664463685</v>
      </c>
      <c r="Q7" s="72">
        <f t="shared" si="12"/>
        <v>336412.22163174301</v>
      </c>
    </row>
    <row r="8" spans="1:17" x14ac:dyDescent="0.2">
      <c r="C8">
        <v>6</v>
      </c>
      <c r="D8" s="72">
        <f t="shared" si="0"/>
        <v>100000</v>
      </c>
      <c r="F8" s="72">
        <f t="shared" si="1"/>
        <v>20000</v>
      </c>
      <c r="G8" s="72">
        <f t="shared" si="6"/>
        <v>60000</v>
      </c>
      <c r="H8" s="72">
        <f t="shared" si="7"/>
        <v>640000</v>
      </c>
      <c r="I8" s="72">
        <f t="shared" si="8"/>
        <v>35000</v>
      </c>
      <c r="J8" s="72">
        <f t="shared" si="2"/>
        <v>115000</v>
      </c>
      <c r="K8" s="72">
        <f t="shared" si="3"/>
        <v>-15000</v>
      </c>
      <c r="L8" s="72">
        <f t="shared" si="9"/>
        <v>77702.744979274023</v>
      </c>
      <c r="M8" s="72">
        <f t="shared" si="4"/>
        <v>97702.744979274023</v>
      </c>
      <c r="N8" s="72">
        <f t="shared" si="5"/>
        <v>2297.2550207259774</v>
      </c>
      <c r="O8" s="72">
        <f t="shared" si="10"/>
        <v>16820.611081587151</v>
      </c>
      <c r="P8" s="72">
        <f t="shared" si="11"/>
        <v>60882.133897686872</v>
      </c>
      <c r="Q8" s="72">
        <f t="shared" si="12"/>
        <v>275530.08773405617</v>
      </c>
    </row>
    <row r="9" spans="1:17" x14ac:dyDescent="0.2">
      <c r="A9" s="71">
        <v>0.05</v>
      </c>
      <c r="C9">
        <v>7</v>
      </c>
      <c r="D9" s="72">
        <f t="shared" si="0"/>
        <v>100000</v>
      </c>
      <c r="F9" s="72">
        <f t="shared" si="1"/>
        <v>20000</v>
      </c>
      <c r="G9" s="72">
        <f t="shared" si="6"/>
        <v>60000</v>
      </c>
      <c r="H9" s="72">
        <f t="shared" si="7"/>
        <v>580000</v>
      </c>
      <c r="I9" s="72">
        <f t="shared" si="8"/>
        <v>32000</v>
      </c>
      <c r="J9" s="72">
        <f t="shared" si="2"/>
        <v>112000</v>
      </c>
      <c r="K9" s="72">
        <f t="shared" si="3"/>
        <v>-12000</v>
      </c>
      <c r="L9" s="72">
        <f t="shared" si="9"/>
        <v>77702.744979274023</v>
      </c>
      <c r="M9" s="72">
        <f t="shared" si="4"/>
        <v>97702.744979274023</v>
      </c>
      <c r="N9" s="72">
        <f t="shared" si="5"/>
        <v>2297.2550207259774</v>
      </c>
      <c r="O9" s="72">
        <f t="shared" si="10"/>
        <v>13776.504386702809</v>
      </c>
      <c r="P9" s="72">
        <f t="shared" si="11"/>
        <v>63926.240592571216</v>
      </c>
      <c r="Q9" s="72">
        <f t="shared" si="12"/>
        <v>211603.84714148496</v>
      </c>
    </row>
    <row r="10" spans="1:17" x14ac:dyDescent="0.2">
      <c r="C10">
        <v>8</v>
      </c>
      <c r="D10" s="72">
        <f t="shared" si="0"/>
        <v>100000</v>
      </c>
      <c r="F10" s="72">
        <f t="shared" si="1"/>
        <v>20000</v>
      </c>
      <c r="G10" s="72">
        <f t="shared" si="6"/>
        <v>60000</v>
      </c>
      <c r="H10" s="72">
        <f t="shared" si="7"/>
        <v>520000</v>
      </c>
      <c r="I10" s="72">
        <f t="shared" si="8"/>
        <v>29000</v>
      </c>
      <c r="J10" s="72">
        <f t="shared" si="2"/>
        <v>109000</v>
      </c>
      <c r="K10" s="72">
        <f t="shared" si="3"/>
        <v>-9000</v>
      </c>
      <c r="L10" s="72">
        <f t="shared" si="9"/>
        <v>77702.744979274023</v>
      </c>
      <c r="M10" s="72">
        <f t="shared" si="4"/>
        <v>97702.744979274023</v>
      </c>
      <c r="N10" s="72">
        <f t="shared" si="5"/>
        <v>2297.2550207259774</v>
      </c>
      <c r="O10" s="72">
        <f t="shared" si="10"/>
        <v>10580.192357074249</v>
      </c>
      <c r="P10" s="72">
        <f t="shared" si="11"/>
        <v>67122.552622199772</v>
      </c>
      <c r="Q10" s="72">
        <f t="shared" si="12"/>
        <v>144481.29451928521</v>
      </c>
    </row>
    <row r="11" spans="1:17" x14ac:dyDescent="0.2">
      <c r="C11">
        <v>9</v>
      </c>
      <c r="D11" s="72">
        <f t="shared" si="0"/>
        <v>100000</v>
      </c>
      <c r="F11" s="72">
        <f t="shared" si="1"/>
        <v>20000</v>
      </c>
      <c r="G11" s="72">
        <f t="shared" si="6"/>
        <v>60000</v>
      </c>
      <c r="H11" s="72">
        <f t="shared" si="7"/>
        <v>460000</v>
      </c>
      <c r="I11" s="72">
        <f t="shared" si="8"/>
        <v>26000</v>
      </c>
      <c r="J11" s="72">
        <f t="shared" si="2"/>
        <v>106000</v>
      </c>
      <c r="K11" s="72">
        <f t="shared" si="3"/>
        <v>-6000</v>
      </c>
      <c r="L11" s="72">
        <f t="shared" si="9"/>
        <v>77702.744979274023</v>
      </c>
      <c r="M11" s="72">
        <f t="shared" si="4"/>
        <v>97702.744979274023</v>
      </c>
      <c r="N11" s="72">
        <f t="shared" si="5"/>
        <v>2297.2550207259774</v>
      </c>
      <c r="O11" s="72">
        <f t="shared" si="10"/>
        <v>7224.064725964261</v>
      </c>
      <c r="P11" s="72">
        <f t="shared" si="11"/>
        <v>70478.680253309765</v>
      </c>
      <c r="Q11" s="72">
        <f t="shared" si="12"/>
        <v>74002.614265975441</v>
      </c>
    </row>
    <row r="12" spans="1:17" x14ac:dyDescent="0.2">
      <c r="C12">
        <v>10</v>
      </c>
      <c r="D12" s="72">
        <f>$A$1*$A$3+A1*A7</f>
        <v>500000</v>
      </c>
      <c r="E12" s="72">
        <f>A1*A7</f>
        <v>400000</v>
      </c>
      <c r="F12" s="72">
        <f t="shared" si="1"/>
        <v>20000</v>
      </c>
      <c r="G12" s="72">
        <f t="shared" si="6"/>
        <v>60000</v>
      </c>
      <c r="H12" s="72">
        <f t="shared" si="7"/>
        <v>400000</v>
      </c>
      <c r="I12" s="72">
        <f t="shared" si="8"/>
        <v>23000</v>
      </c>
      <c r="J12" s="72">
        <f t="shared" si="2"/>
        <v>103000</v>
      </c>
      <c r="K12" s="72">
        <f t="shared" si="3"/>
        <v>397000</v>
      </c>
      <c r="L12" s="72">
        <f>L11</f>
        <v>77702.744979274023</v>
      </c>
      <c r="M12" s="72">
        <f t="shared" si="4"/>
        <v>97702.744979274023</v>
      </c>
      <c r="N12" s="72">
        <f t="shared" si="5"/>
        <v>402297.25502072601</v>
      </c>
      <c r="O12" s="72">
        <f t="shared" si="10"/>
        <v>3700.1307132987722</v>
      </c>
      <c r="P12" s="72">
        <f t="shared" si="11"/>
        <v>74002.614265975251</v>
      </c>
      <c r="Q12" s="72">
        <f t="shared" si="12"/>
        <v>1.8917489796876907E-10</v>
      </c>
    </row>
    <row r="14" spans="1:17" x14ac:dyDescent="0.2">
      <c r="K14" s="72">
        <f>SUM(K3:K13)</f>
        <v>235000</v>
      </c>
      <c r="N14" s="72">
        <f>SUM(N3:N13)</f>
        <v>422972.55020725983</v>
      </c>
    </row>
    <row r="16" spans="1:17" x14ac:dyDescent="0.2">
      <c r="D16">
        <f>(1+A9)^C12</f>
        <v>1.6288946267774416</v>
      </c>
      <c r="G16">
        <f>(((1+$A$9)^C12)-1)/($A$9*(1+$A$9)^C12)</f>
        <v>7.7217349291848123</v>
      </c>
    </row>
    <row r="17" spans="1:9" x14ac:dyDescent="0.2">
      <c r="D17">
        <v>1</v>
      </c>
    </row>
    <row r="18" spans="1:9" x14ac:dyDescent="0.2">
      <c r="D18">
        <f>D16-D17</f>
        <v>0.62889462677744157</v>
      </c>
    </row>
    <row r="21" spans="1:9" x14ac:dyDescent="0.2">
      <c r="D21">
        <f>A9*D16</f>
        <v>8.1444731338872089E-2</v>
      </c>
      <c r="E21">
        <f>D18/D21</f>
        <v>7.7217349291848123</v>
      </c>
      <c r="F21" s="72">
        <f>A1-E12</f>
        <v>600000</v>
      </c>
    </row>
    <row r="22" spans="1:9" x14ac:dyDescent="0.2">
      <c r="F22" s="72">
        <f>F21/E21</f>
        <v>77702.744979274023</v>
      </c>
    </row>
    <row r="25" spans="1:9" x14ac:dyDescent="0.2">
      <c r="C25" t="s">
        <v>141</v>
      </c>
      <c r="D25" s="76" t="s">
        <v>142</v>
      </c>
      <c r="E25" s="76"/>
      <c r="F25" s="76"/>
      <c r="G25" s="76" t="s">
        <v>145</v>
      </c>
      <c r="H25" s="76"/>
      <c r="I25" s="76"/>
    </row>
    <row r="26" spans="1:9" x14ac:dyDescent="0.2">
      <c r="A26" s="70">
        <v>2000000</v>
      </c>
      <c r="D26" t="s">
        <v>143</v>
      </c>
      <c r="E26" t="s">
        <v>131</v>
      </c>
      <c r="F26" t="s">
        <v>144</v>
      </c>
      <c r="G26" t="s">
        <v>143</v>
      </c>
      <c r="H26" t="s">
        <v>131</v>
      </c>
      <c r="I26" t="s">
        <v>144</v>
      </c>
    </row>
    <row r="27" spans="1:9" x14ac:dyDescent="0.2">
      <c r="C27" s="72">
        <f>A26*A30</f>
        <v>120000</v>
      </c>
      <c r="D27" s="72">
        <f>A26*A30</f>
        <v>120000</v>
      </c>
      <c r="E27" s="72">
        <f>A26/A28</f>
        <v>200000</v>
      </c>
      <c r="F27" s="72">
        <f>D27+E27</f>
        <v>320000</v>
      </c>
      <c r="G27" s="72">
        <f>D27</f>
        <v>120000</v>
      </c>
      <c r="H27" s="72">
        <f>I27-G27</f>
        <v>151735.91644076741</v>
      </c>
      <c r="I27" s="72">
        <f>A26/B38</f>
        <v>271735.91644076741</v>
      </c>
    </row>
    <row r="28" spans="1:9" x14ac:dyDescent="0.2">
      <c r="A28">
        <v>10</v>
      </c>
      <c r="B28" t="s">
        <v>140</v>
      </c>
    </row>
    <row r="30" spans="1:9" x14ac:dyDescent="0.2">
      <c r="A30" s="71">
        <v>0.06</v>
      </c>
    </row>
    <row r="32" spans="1:9" x14ac:dyDescent="0.2">
      <c r="A32" t="s">
        <v>146</v>
      </c>
      <c r="B32">
        <f>(1+A30)^A28</f>
        <v>1.7908476965428546</v>
      </c>
    </row>
    <row r="33" spans="2:2" x14ac:dyDescent="0.2">
      <c r="B33">
        <v>-1</v>
      </c>
    </row>
    <row r="34" spans="2:2" x14ac:dyDescent="0.2">
      <c r="B34">
        <f>B32+B33</f>
        <v>0.79084769654285458</v>
      </c>
    </row>
    <row r="36" spans="2:2" x14ac:dyDescent="0.2">
      <c r="B36">
        <f>A30*B32</f>
        <v>0.10745086179257127</v>
      </c>
    </row>
    <row r="38" spans="2:2" x14ac:dyDescent="0.2">
      <c r="B38">
        <f>B34/B36</f>
        <v>7.3600870514147028</v>
      </c>
    </row>
  </sheetData>
  <mergeCells count="2">
    <mergeCell ref="D25:F25"/>
    <mergeCell ref="G25: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ΑΠΛΟΣ ΕΚΤΟΚΙΣΜΟΣ</vt:lpstr>
      <vt:lpstr>ΑΝΑΤΟΚΙΣΜΟΣ</vt:lpstr>
      <vt:lpstr>Μ ΠΕΡΙΟΔΟΙ ΔΙΑΡΚΗΣ</vt:lpstr>
      <vt:lpstr>ΡΑΝΤΕΣ</vt:lpstr>
      <vt:lpstr>ΚΠΑ-ΕΡΑ, NPV-IRR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 Liapis</dc:creator>
  <cp:lastModifiedBy>LIAPIS KONSTANTINOS</cp:lastModifiedBy>
  <dcterms:created xsi:type="dcterms:W3CDTF">2020-03-24T07:32:48Z</dcterms:created>
  <dcterms:modified xsi:type="dcterms:W3CDTF">2025-05-06T17:01:47Z</dcterms:modified>
</cp:coreProperties>
</file>